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21" i="1" l="1"/>
  <c r="O20" i="1"/>
  <c r="J11" i="3"/>
  <c r="J7" i="3"/>
  <c r="O25" i="1"/>
  <c r="O24" i="1"/>
  <c r="O23" i="1"/>
  <c r="O22" i="1"/>
  <c r="O12" i="1"/>
  <c r="O11" i="1"/>
  <c r="O9" i="1"/>
  <c r="O8" i="1"/>
  <c r="N14" i="3" l="1"/>
  <c r="N13" i="3"/>
  <c r="N12" i="3"/>
  <c r="N11" i="3"/>
  <c r="N10" i="3"/>
  <c r="N9" i="3"/>
  <c r="N7" i="3"/>
  <c r="N6" i="3"/>
  <c r="N5" i="3"/>
  <c r="G12" i="3" l="1"/>
  <c r="G9" i="3"/>
  <c r="G6" i="3"/>
  <c r="H14" i="3"/>
  <c r="G14" i="3"/>
  <c r="H13" i="3"/>
  <c r="G13" i="3"/>
  <c r="H12" i="3"/>
  <c r="H11" i="3"/>
  <c r="G11" i="3"/>
  <c r="H10" i="3"/>
  <c r="G10" i="3"/>
  <c r="H9" i="3"/>
  <c r="H7" i="3"/>
  <c r="G7" i="3"/>
  <c r="H6" i="3"/>
  <c r="H5" i="3"/>
  <c r="G5" i="3"/>
  <c r="M14" i="1" l="1"/>
  <c r="M13" i="1"/>
  <c r="L14" i="1"/>
  <c r="L13" i="1"/>
  <c r="L8" i="1"/>
  <c r="L11" i="1"/>
  <c r="L10" i="1"/>
  <c r="L7" i="1"/>
  <c r="L5" i="1"/>
  <c r="Q23" i="1" l="1"/>
  <c r="M23" i="1"/>
  <c r="L23" i="1"/>
  <c r="F23" i="1"/>
  <c r="N23" i="1" l="1"/>
  <c r="G32" i="1"/>
  <c r="B36" i="1" s="1"/>
  <c r="D36" i="1" s="1"/>
  <c r="Q25" i="1"/>
  <c r="M25" i="1"/>
  <c r="L25" i="1"/>
  <c r="F25" i="1"/>
  <c r="Q24" i="1"/>
  <c r="M24" i="1"/>
  <c r="L24" i="1"/>
  <c r="F24" i="1"/>
  <c r="Q22" i="1"/>
  <c r="M22" i="1"/>
  <c r="L22" i="1"/>
  <c r="F22" i="1"/>
  <c r="Q21" i="1"/>
  <c r="M21" i="1"/>
  <c r="L21" i="1"/>
  <c r="F21" i="1"/>
  <c r="Q20" i="1"/>
  <c r="M20" i="1"/>
  <c r="L20" i="1"/>
  <c r="F20" i="1"/>
  <c r="B49" i="1"/>
  <c r="D49" i="1" s="1"/>
  <c r="D18" i="1"/>
  <c r="D17" i="1"/>
  <c r="B47" i="1"/>
  <c r="D47" i="1" s="1"/>
  <c r="D16" i="1"/>
  <c r="D15" i="1"/>
  <c r="B45" i="1"/>
  <c r="D45" i="1" s="1"/>
  <c r="B44" i="1"/>
  <c r="C44" i="1" s="1"/>
  <c r="M12" i="1"/>
  <c r="L12" i="1"/>
  <c r="M11" i="1"/>
  <c r="M10" i="1"/>
  <c r="M9" i="1"/>
  <c r="L9" i="1"/>
  <c r="M8" i="1"/>
  <c r="D8" i="1"/>
  <c r="M7" i="1"/>
  <c r="D7" i="1"/>
  <c r="B48" i="1" s="1"/>
  <c r="M6" i="1"/>
  <c r="L6" i="1"/>
  <c r="D6" i="1"/>
  <c r="Q6" i="1" s="1"/>
  <c r="M5" i="1"/>
  <c r="D5" i="1"/>
  <c r="F20" i="3"/>
  <c r="G21" i="3" s="1"/>
  <c r="P23" i="1" l="1"/>
  <c r="R23" i="1" s="1"/>
  <c r="S23" i="1" s="1"/>
  <c r="B37" i="1"/>
  <c r="D14" i="1"/>
  <c r="Q14" i="1" s="1"/>
  <c r="B38" i="1"/>
  <c r="C38" i="1" s="1"/>
  <c r="C45" i="1"/>
  <c r="C47" i="1"/>
  <c r="C49" i="1"/>
  <c r="F6" i="1"/>
  <c r="D48" i="1"/>
  <c r="C48" i="1"/>
  <c r="F5" i="1"/>
  <c r="Q5" i="1"/>
  <c r="C36" i="1"/>
  <c r="N6" i="1"/>
  <c r="O6" i="1" s="1"/>
  <c r="N7" i="1"/>
  <c r="O7" i="1" s="1"/>
  <c r="N8" i="1"/>
  <c r="P8" i="1" s="1"/>
  <c r="D9" i="1"/>
  <c r="N9" i="1"/>
  <c r="N12" i="1"/>
  <c r="D13" i="1"/>
  <c r="N13" i="1"/>
  <c r="O13" i="1" s="1"/>
  <c r="D44" i="1"/>
  <c r="B46" i="1"/>
  <c r="N20" i="1"/>
  <c r="N22" i="1"/>
  <c r="P22" i="1" s="1"/>
  <c r="R22" i="1" s="1"/>
  <c r="S22" i="1" s="1"/>
  <c r="N24" i="1"/>
  <c r="P24" i="1" s="1"/>
  <c r="R24" i="1" s="1"/>
  <c r="S24" i="1" s="1"/>
  <c r="N5" i="1"/>
  <c r="P5" i="1" s="1"/>
  <c r="R5" i="1" s="1"/>
  <c r="S5" i="1" s="1"/>
  <c r="F7" i="1"/>
  <c r="Q7" i="1"/>
  <c r="F8" i="1"/>
  <c r="Q8" i="1"/>
  <c r="D10" i="1"/>
  <c r="N10" i="1"/>
  <c r="O10" i="1" s="1"/>
  <c r="D11" i="1"/>
  <c r="N11" i="1"/>
  <c r="N14" i="1"/>
  <c r="O14" i="1" s="1"/>
  <c r="N21" i="1"/>
  <c r="P21" i="1" s="1"/>
  <c r="R21" i="1" s="1"/>
  <c r="S21" i="1" s="1"/>
  <c r="N25" i="1"/>
  <c r="P25" i="1" s="1"/>
  <c r="R25" i="1" s="1"/>
  <c r="S25" i="1" s="1"/>
  <c r="R8" i="1" l="1"/>
  <c r="S8" i="1" s="1"/>
  <c r="P12" i="1"/>
  <c r="R12" i="1" s="1"/>
  <c r="S12" i="1" s="1"/>
  <c r="P10" i="1"/>
  <c r="P9" i="1"/>
  <c r="F14" i="1"/>
  <c r="F31" i="1"/>
  <c r="F29" i="1" s="1"/>
  <c r="D38" i="1"/>
  <c r="P20" i="1"/>
  <c r="R20" i="1" s="1"/>
  <c r="S20" i="1" s="1"/>
  <c r="P13" i="1"/>
  <c r="P7" i="1"/>
  <c r="R7" i="1" s="1"/>
  <c r="S7" i="1" s="1"/>
  <c r="Q13" i="1"/>
  <c r="F13" i="1"/>
  <c r="Q9" i="1"/>
  <c r="F9" i="1"/>
  <c r="B40" i="1"/>
  <c r="B39" i="1"/>
  <c r="C37" i="1"/>
  <c r="D37" i="1"/>
  <c r="P14" i="1"/>
  <c r="R14" i="1" s="1"/>
  <c r="S14" i="1" s="1"/>
  <c r="P11" i="1"/>
  <c r="B43" i="1"/>
  <c r="Q11" i="1"/>
  <c r="F11" i="1"/>
  <c r="B42" i="1"/>
  <c r="Q10" i="1"/>
  <c r="F10" i="1"/>
  <c r="C46" i="1"/>
  <c r="D46" i="1"/>
  <c r="P6" i="1"/>
  <c r="R6" i="1" s="1"/>
  <c r="S6" i="1" s="1"/>
  <c r="O27" i="1" l="1"/>
  <c r="R9" i="1"/>
  <c r="S9" i="1" s="1"/>
  <c r="R10" i="1"/>
  <c r="S10" i="1" s="1"/>
  <c r="R13" i="1"/>
  <c r="S13" i="1" s="1"/>
  <c r="C43" i="1"/>
  <c r="D43" i="1"/>
  <c r="C39" i="1"/>
  <c r="D39" i="1"/>
  <c r="D42" i="1"/>
  <c r="C42" i="1"/>
  <c r="R11" i="1"/>
  <c r="S11" i="1" s="1"/>
  <c r="B41" i="1"/>
  <c r="C40" i="1"/>
  <c r="D40" i="1"/>
  <c r="D41" i="1" l="1"/>
  <c r="C41" i="1"/>
  <c r="I14" i="3" l="1"/>
  <c r="D14" i="3"/>
  <c r="I13" i="3"/>
  <c r="B13" i="3"/>
  <c r="I12" i="3"/>
  <c r="D12" i="3"/>
  <c r="I11" i="3"/>
  <c r="D11" i="3"/>
  <c r="B30" i="3"/>
  <c r="I10" i="3"/>
  <c r="B10" i="3"/>
  <c r="B29" i="3"/>
  <c r="I9" i="3"/>
  <c r="D9" i="3"/>
  <c r="B28" i="3"/>
  <c r="H8" i="3"/>
  <c r="G8" i="3"/>
  <c r="I8" i="3" s="1"/>
  <c r="D8" i="3"/>
  <c r="B27" i="3"/>
  <c r="I7" i="3"/>
  <c r="B7" i="3"/>
  <c r="B26" i="3"/>
  <c r="I6" i="3"/>
  <c r="D6" i="3"/>
  <c r="B25" i="3"/>
  <c r="I5" i="3"/>
  <c r="D5" i="3"/>
  <c r="K12" i="3" l="1"/>
  <c r="K14" i="3"/>
  <c r="J14" i="3"/>
  <c r="J5" i="3"/>
  <c r="J6" i="3"/>
  <c r="J8" i="3"/>
  <c r="J17" i="3" s="1"/>
  <c r="J9" i="3"/>
  <c r="J10" i="3"/>
  <c r="J13" i="3"/>
  <c r="K8" i="3" l="1"/>
  <c r="L8" i="3" s="1"/>
  <c r="K10" i="3"/>
  <c r="L10" i="3" s="1"/>
  <c r="M10" i="3" s="1"/>
  <c r="L14" i="3"/>
  <c r="M14" i="3" s="1"/>
  <c r="L12" i="3"/>
  <c r="M12" i="3" s="1"/>
  <c r="K7" i="3"/>
  <c r="J12" i="3"/>
  <c r="K13" i="3"/>
  <c r="K11" i="3"/>
  <c r="K6" i="3"/>
  <c r="L6" i="3" s="1"/>
  <c r="M6" i="3" s="1"/>
  <c r="K5" i="3"/>
  <c r="K9" i="3"/>
  <c r="M8" i="3" l="1"/>
  <c r="N8" i="3" s="1"/>
  <c r="L11" i="3"/>
  <c r="M11" i="3" s="1"/>
  <c r="L9" i="3"/>
  <c r="M9" i="3" s="1"/>
  <c r="L13" i="3"/>
  <c r="M13" i="3" s="1"/>
  <c r="L5" i="3"/>
  <c r="M5" i="3" s="1"/>
  <c r="L7" i="3"/>
  <c r="M7" i="3" s="1"/>
</calcChain>
</file>

<file path=xl/sharedStrings.xml><?xml version="1.0" encoding="utf-8"?>
<sst xmlns="http://schemas.openxmlformats.org/spreadsheetml/2006/main" count="155" uniqueCount="121">
  <si>
    <t>Capacity TPD</t>
  </si>
  <si>
    <t>VE-01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</si>
  <si>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</si>
  <si>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</si>
  <si>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</si>
  <si>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</si>
  <si>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</si>
  <si>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</si>
  <si>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</si>
  <si>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</si>
  <si>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</si>
  <si>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</si>
  <si>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</si>
  <si>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</si>
  <si>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</si>
  <si>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</si>
  <si>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</si>
  <si>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</si>
  <si>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</si>
  <si>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</si>
  <si>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</si>
  <si>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</si>
  <si>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</si>
  <si>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</si>
  <si>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</si>
  <si>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</si>
  <si>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</si>
  <si>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</si>
  <si>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</si>
  <si>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</si>
  <si>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</si>
  <si>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</si>
  <si>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</si>
  <si>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</si>
  <si>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</si>
  <si>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</si>
  <si>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</si>
  <si>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</si>
  <si>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</si>
  <si>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</si>
  <si>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</si>
  <si>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Pumps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</si>
  <si>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</si>
  <si>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</si>
  <si>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</si>
  <si>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</si>
  <si>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</si>
  <si>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</si>
  <si>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</si>
  <si>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</si>
  <si>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</si>
  <si>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</si>
  <si>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</si>
  <si>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</si>
  <si>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</si>
  <si>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</si>
  <si>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</si>
  <si>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</si>
  <si>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</si>
  <si>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</si>
  <si>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</si>
  <si>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</si>
  <si>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</si>
  <si>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</si>
  <si>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</si>
  <si>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</si>
  <si>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</si>
  <si>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</si>
  <si>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</si>
  <si>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</si>
  <si>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</si>
  <si>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</si>
  <si>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</si>
  <si>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</si>
  <si>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</si>
  <si>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</si>
  <si>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</si>
  <si>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</si>
  <si>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</si>
  <si>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Quantity</t>
  </si>
  <si>
    <t>CS</t>
  </si>
  <si>
    <t>SS304</t>
  </si>
  <si>
    <t>Pump Capacity LPM</t>
  </si>
  <si>
    <t>SS316L</t>
  </si>
  <si>
    <t>MC-13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</si>
  <si>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</si>
  <si>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</si>
  <si>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</si>
  <si>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</si>
  <si>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</si>
  <si>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</si>
  <si>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BC-05/BC-09/GC-16/BC-19</t>
  </si>
  <si>
    <t>Glycerine Feed Tank</t>
  </si>
  <si>
    <t>GF-02</t>
  </si>
  <si>
    <t>3 Nos.</t>
  </si>
  <si>
    <t>Pretreatment Tank</t>
  </si>
  <si>
    <t>BioDiesel Reactor 3 Nos.</t>
  </si>
  <si>
    <t>Settling Tanks 6 Nos.</t>
  </si>
  <si>
    <t>AC-20</t>
  </si>
  <si>
    <t>100 tpd Batch</t>
  </si>
  <si>
    <t>OR</t>
  </si>
  <si>
    <t>Lakh KCal/Hr</t>
  </si>
  <si>
    <t>Hot Water Boiler</t>
  </si>
  <si>
    <t>Vessel Volume    Cu M</t>
  </si>
  <si>
    <t>Length    mm</t>
  </si>
  <si>
    <t>Shell  / Jacket Weight</t>
  </si>
  <si>
    <t>Distillation Towers - 3 Nos.</t>
  </si>
  <si>
    <t>Acid Columns -2 Nos.</t>
  </si>
  <si>
    <t>Recycle Condensers - 4 Nos.</t>
  </si>
  <si>
    <t>Dry Wash Columns - 6 Nos.</t>
  </si>
  <si>
    <t>PT-01/BR-04</t>
  </si>
  <si>
    <t>Agitators - 4 No.</t>
  </si>
  <si>
    <t>Rec Vessel Coolers - 2 Nos.</t>
  </si>
  <si>
    <t>Rec Vessel Coolers</t>
  </si>
  <si>
    <t>Equipment No.</t>
  </si>
  <si>
    <t>Main Plant</t>
  </si>
  <si>
    <t>Utilities</t>
  </si>
  <si>
    <t>Nozzles / Legs Weight</t>
  </si>
  <si>
    <t>C-05/11/6</t>
  </si>
  <si>
    <t>Met Gly Purification - 2 Nos.</t>
  </si>
  <si>
    <t>Biod  Purification - 2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</si>
</sst>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0" fontId="0" fillId="0" borderId="0" xfId="0" applyFont="1"/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27" ht="60" x14ac:dyDescent="0.25">
      <c r="B1" s="18"/>
      <c r="D1" s="18" t="s">
        <v>89</v>
      </c>
      <c r="E1" s="18" t="s">
        <v>18</v>
      </c>
      <c r="F1" s="18" t="s">
        <v>90</v>
      </c>
      <c r="T1" s="21"/>
      <c r="U1" s="21"/>
      <c r="V1" s="21"/>
      <c r="W1" s="21"/>
      <c r="X1" s="21"/>
      <c r="Y1" s="21"/>
      <c r="Z1" s="21"/>
      <c r="AA1" s="21"/>
    </row>
    <row r="2" spans="1:27" x14ac:dyDescent="0.25">
      <c r="A2" s="1" t="s">
        <v>0</v>
      </c>
      <c r="B2" s="23" t="s">
        <v>115</v>
      </c>
      <c r="D2">
        <v>500</v>
      </c>
      <c r="E2">
        <v>200</v>
      </c>
      <c r="F2">
        <v>100</v>
      </c>
      <c r="T2" s="21"/>
      <c r="U2" s="21"/>
      <c r="V2" s="21"/>
      <c r="W2" s="21"/>
      <c r="X2" s="21"/>
      <c r="Y2" s="21"/>
      <c r="Z2" s="21"/>
      <c r="AA2" s="21"/>
    </row>
    <row r="3" spans="1:27" ht="15.75" customHeight="1" x14ac:dyDescent="0.25">
      <c r="A3" t="s">
        <v>99</v>
      </c>
      <c r="B3">
        <v>30</v>
      </c>
      <c r="C3" s="20" t="s">
        <v>94</v>
      </c>
      <c r="T3" s="22"/>
      <c r="U3" s="22"/>
      <c r="V3" s="22"/>
      <c r="W3" s="22"/>
    </row>
    <row r="4" spans="1:27" ht="48.75" customHeight="1" x14ac:dyDescent="0.25">
      <c r="A4" s="19" t="s">
        <v>114</v>
      </c>
      <c r="B4" s="19" t="s">
        <v>79</v>
      </c>
      <c r="C4" s="19"/>
      <c r="D4" s="19" t="s">
        <v>103</v>
      </c>
      <c r="E4" s="19" t="s">
        <v>104</v>
      </c>
      <c r="F4" s="19" t="s">
        <v>4</v>
      </c>
      <c r="G4" s="19" t="s">
        <v>5</v>
      </c>
      <c r="H4" s="27" t="s">
        <v>9</v>
      </c>
      <c r="I4" s="28"/>
      <c r="L4" s="19" t="s">
        <v>105</v>
      </c>
      <c r="M4" s="19" t="s">
        <v>11</v>
      </c>
      <c r="N4" s="19" t="s">
        <v>117</v>
      </c>
      <c r="O4" s="5" t="s">
        <v>10</v>
      </c>
      <c r="P4" s="19" t="s">
        <v>42</v>
      </c>
      <c r="Q4" s="19" t="s">
        <v>44</v>
      </c>
      <c r="R4" s="19" t="s">
        <v>43</v>
      </c>
      <c r="S4" s="19" t="s">
        <v>45</v>
      </c>
      <c r="X4" s="19"/>
      <c r="Y4" s="19"/>
    </row>
    <row r="5" spans="1:27" ht="15.75" customHeight="1" x14ac:dyDescent="0.25">
      <c r="A5" s="2" t="s">
        <v>49</v>
      </c>
      <c r="B5" t="s">
        <v>95</v>
      </c>
      <c r="D5">
        <f>B3*0.65</f>
        <v>19.5</v>
      </c>
      <c r="E5">
        <v>3600</v>
      </c>
      <c r="F5" s="3">
        <f>SQRT(D5*4*1000/E5/3.14159)*1000</f>
        <v>2626.1607007300586</v>
      </c>
      <c r="G5">
        <v>2650</v>
      </c>
      <c r="H5" s="3">
        <v>10</v>
      </c>
      <c r="I5" s="3"/>
      <c r="J5" t="s">
        <v>80</v>
      </c>
      <c r="L5" s="4">
        <f>3.14159*G5*E5*H5*1.5*7.85/1000000</f>
        <v>3529.0580026499997</v>
      </c>
      <c r="M5" s="4">
        <f>G5*G5*1.22*1.22*H5*7.85*2/1000000</f>
        <v>1641.0093730000001</v>
      </c>
      <c r="N5" s="4">
        <f t="shared" ref="N5:N14" si="0">(K5+L5)*0.2</f>
        <v>705.81160052999996</v>
      </c>
      <c r="O5" s="6">
        <f>(L5+M5+N5)*E2*1.4</f>
        <v>1645246.1133303996</v>
      </c>
      <c r="P5" s="4">
        <f>(L5+M5+N5)</f>
        <v>5875.8789761799999</v>
      </c>
      <c r="Q5">
        <f>D5*1500</f>
        <v>29250</v>
      </c>
      <c r="R5" s="15">
        <f>P5+Q5</f>
        <v>35125.87897618</v>
      </c>
      <c r="S5" s="15">
        <f>R5*1.5</f>
        <v>52688.81846427</v>
      </c>
      <c r="X5" s="29"/>
      <c r="Y5" s="29"/>
    </row>
    <row r="6" spans="1:27" ht="15.75" customHeight="1" x14ac:dyDescent="0.25">
      <c r="A6" s="2" t="s">
        <v>93</v>
      </c>
      <c r="B6" t="s">
        <v>92</v>
      </c>
      <c r="C6" s="19"/>
      <c r="D6" s="13">
        <f>B3*0.2</f>
        <v>6</v>
      </c>
      <c r="E6" s="13">
        <v>1200</v>
      </c>
      <c r="F6" s="14">
        <f>SQRT(D6*4*1000/E6/3.14159)*1000</f>
        <v>2523.1335876202693</v>
      </c>
      <c r="G6" s="13">
        <v>2500</v>
      </c>
      <c r="H6" s="14">
        <v>6</v>
      </c>
      <c r="I6" s="15"/>
      <c r="J6" t="s">
        <v>80</v>
      </c>
      <c r="L6" s="4">
        <f>3.14159*G6*E6*H6*7.85/1000000</f>
        <v>443.90666700000003</v>
      </c>
      <c r="M6" s="4">
        <f>G6*G6*1.22*1.22*H6*7.85*2/1000000</f>
        <v>876.29549999999995</v>
      </c>
      <c r="N6" s="4">
        <f t="shared" si="0"/>
        <v>88.781333400000008</v>
      </c>
      <c r="O6" s="6">
        <f>(L6+M6+N6)*E2</f>
        <v>281796.70007999998</v>
      </c>
      <c r="P6" s="4">
        <f t="shared" ref="P6:P14" si="1">L6+M6+N6</f>
        <v>1408.9835003999999</v>
      </c>
      <c r="Q6">
        <f>D6*1500</f>
        <v>9000</v>
      </c>
      <c r="R6" s="15">
        <f t="shared" ref="R6:R14" si="2">P6+Q6</f>
        <v>10408.9835004</v>
      </c>
      <c r="S6" s="15">
        <f>R6</f>
        <v>10408.9835004</v>
      </c>
      <c r="X6" s="4"/>
      <c r="Y6" s="3"/>
    </row>
    <row r="7" spans="1:27" ht="15.75" customHeight="1" x14ac:dyDescent="0.25">
      <c r="A7" s="2" t="s">
        <v>48</v>
      </c>
      <c r="B7" t="s">
        <v>77</v>
      </c>
      <c r="C7" s="19"/>
      <c r="D7" s="13">
        <f>B3*0.6</f>
        <v>18</v>
      </c>
      <c r="E7" s="13">
        <v>2400</v>
      </c>
      <c r="F7" s="14">
        <f>SQRT(D7*4*1000/E7/3.14159)*1000</f>
        <v>3090.194921273785</v>
      </c>
      <c r="G7" s="13">
        <v>3000</v>
      </c>
      <c r="H7" s="14">
        <v>6</v>
      </c>
      <c r="I7" s="15"/>
      <c r="J7" t="s">
        <v>80</v>
      </c>
      <c r="L7" s="4">
        <f>3.14159*G7*E7*H7*7.85*1.5/1000000</f>
        <v>1598.0640011999999</v>
      </c>
      <c r="M7" s="4">
        <f>G7*G7*1.22*1.22*H7*7.85*2/1000000</f>
        <v>1261.8655200000001</v>
      </c>
      <c r="N7" s="4">
        <f t="shared" si="0"/>
        <v>319.61280024000001</v>
      </c>
      <c r="O7" s="6">
        <f>(L7+M7+N7)*E2</f>
        <v>635908.46428800002</v>
      </c>
      <c r="P7" s="4">
        <f t="shared" si="1"/>
        <v>3179.5423214399998</v>
      </c>
      <c r="Q7">
        <f>D7*900</f>
        <v>16200</v>
      </c>
      <c r="R7" s="15">
        <f t="shared" si="2"/>
        <v>19379.54232144</v>
      </c>
      <c r="S7" s="15">
        <f>R7</f>
        <v>19379.54232144</v>
      </c>
      <c r="X7" s="4"/>
      <c r="Y7" s="3"/>
    </row>
    <row r="8" spans="1:27" ht="15.75" customHeight="1" x14ac:dyDescent="0.25">
      <c r="A8" t="s">
        <v>52</v>
      </c>
      <c r="B8" t="s">
        <v>96</v>
      </c>
      <c r="D8">
        <f>B3*0.65</f>
        <v>19.5</v>
      </c>
      <c r="E8">
        <v>3600</v>
      </c>
      <c r="F8" s="3">
        <f t="shared" ref="F8:F9" si="3">SQRT(D8*4*1000/E8/3.14159)*1000</f>
        <v>2626.1607007300586</v>
      </c>
      <c r="G8">
        <v>2650</v>
      </c>
      <c r="H8" s="3">
        <v>8</v>
      </c>
      <c r="I8" s="3"/>
      <c r="J8" t="s">
        <v>81</v>
      </c>
      <c r="L8" s="4">
        <f>3.14159*G8*E8*H8*8.15/1000000 +3.14159*G8*E8*H8*7.85/2000000</f>
        <v>2895.1762467600001</v>
      </c>
      <c r="M8" s="4">
        <f t="shared" ref="M8" si="4">G8*G8*1.22*1.22*H8*8.15*2/1000000</f>
        <v>1362.9784856000001</v>
      </c>
      <c r="N8" s="4">
        <f t="shared" si="0"/>
        <v>579.03524935200005</v>
      </c>
      <c r="O8" s="6">
        <f>(L8+M8+N8)*D2*3*1.2</f>
        <v>8706941.9670816008</v>
      </c>
      <c r="P8" s="4">
        <f>(L8+M8+N8)</f>
        <v>4837.1899817120011</v>
      </c>
      <c r="Q8">
        <f>D8*1200</f>
        <v>23400</v>
      </c>
      <c r="R8" s="15">
        <f>P8+Q8</f>
        <v>28237.189981711999</v>
      </c>
      <c r="S8" s="15">
        <f>R8*1.5</f>
        <v>42355.784972567999</v>
      </c>
      <c r="X8" s="4"/>
      <c r="Y8" s="3"/>
    </row>
    <row r="9" spans="1:27" ht="15.75" customHeight="1" x14ac:dyDescent="0.25">
      <c r="A9" t="s">
        <v>50</v>
      </c>
      <c r="B9" t="s">
        <v>97</v>
      </c>
      <c r="D9">
        <f>D8</f>
        <v>19.5</v>
      </c>
      <c r="E9">
        <v>3600</v>
      </c>
      <c r="F9" s="3">
        <f t="shared" si="3"/>
        <v>2626.1607007300586</v>
      </c>
      <c r="G9">
        <v>2650</v>
      </c>
      <c r="H9" s="3">
        <v>8</v>
      </c>
      <c r="I9" s="3"/>
      <c r="J9" t="s">
        <v>80</v>
      </c>
      <c r="L9" s="4">
        <f>3.14159*G9*E9*H9*7.85/1000000</f>
        <v>1882.1642680799996</v>
      </c>
      <c r="M9" s="4">
        <f>G9*G9*1.22*1.22*H9*7.85*2/1000000</f>
        <v>1312.8074983999998</v>
      </c>
      <c r="N9" s="4">
        <f t="shared" si="0"/>
        <v>376.43285361599993</v>
      </c>
      <c r="O9" s="6">
        <f>(L9+M9+N9)*E2*6*1.25</f>
        <v>5357106.9301439989</v>
      </c>
      <c r="P9" s="4">
        <f>(L9+M9+N9)</f>
        <v>3571.4046200959992</v>
      </c>
      <c r="Q9">
        <f>D9*1200</f>
        <v>23400</v>
      </c>
      <c r="R9" s="15">
        <f>P9+Q9</f>
        <v>26971.404620096</v>
      </c>
      <c r="S9" s="15">
        <f t="shared" ref="S9:S14" si="5">R9</f>
        <v>26971.404620096</v>
      </c>
      <c r="X9" s="26"/>
      <c r="Y9" s="26"/>
    </row>
    <row r="10" spans="1:27" ht="15.75" customHeight="1" x14ac:dyDescent="0.25">
      <c r="A10" t="s">
        <v>53</v>
      </c>
      <c r="B10" t="s">
        <v>119</v>
      </c>
      <c r="D10">
        <f>D8*0.15</f>
        <v>2.9249999999999998</v>
      </c>
      <c r="E10" s="16">
        <v>2000</v>
      </c>
      <c r="F10" s="3">
        <f>SQRT(D10*4*1000/E10/3.14159)*1000</f>
        <v>1364.5931287515439</v>
      </c>
      <c r="G10">
        <v>1400</v>
      </c>
      <c r="H10" s="3">
        <v>5</v>
      </c>
      <c r="I10" s="3"/>
      <c r="J10" t="s">
        <v>80</v>
      </c>
      <c r="L10" s="4">
        <f>3.14159*G10*E10*H10*2*7.85/1000000</f>
        <v>690.52148199999999</v>
      </c>
      <c r="M10" s="4">
        <f>G10*G10*1.22*1.22*H10*7.85*2/1000000</f>
        <v>229.005224</v>
      </c>
      <c r="N10" s="4">
        <f t="shared" si="0"/>
        <v>138.10429640000001</v>
      </c>
      <c r="O10" s="6">
        <f>(L10+M10+N10)*2*E2</f>
        <v>423052.40096</v>
      </c>
      <c r="P10" s="4">
        <f>(L10+M10+N10)</f>
        <v>1057.6310023999999</v>
      </c>
      <c r="Q10">
        <f>D10*1000</f>
        <v>2925</v>
      </c>
      <c r="R10" s="15">
        <f>P10+Q10</f>
        <v>3982.6310023999999</v>
      </c>
      <c r="S10" s="15">
        <f t="shared" si="5"/>
        <v>3982.6310023999999</v>
      </c>
      <c r="X10" s="4"/>
      <c r="Y10" s="3"/>
    </row>
    <row r="11" spans="1:27" ht="15.75" customHeight="1" x14ac:dyDescent="0.25">
      <c r="A11" t="s">
        <v>51</v>
      </c>
      <c r="B11" t="s">
        <v>120</v>
      </c>
      <c r="D11">
        <f>D8*0.8</f>
        <v>15.600000000000001</v>
      </c>
      <c r="E11" s="16">
        <v>3000</v>
      </c>
      <c r="F11" s="3">
        <f>SQRT(D11*4*1000/E11/3.14159)*1000</f>
        <v>2573.1014797354246</v>
      </c>
      <c r="G11">
        <v>2500</v>
      </c>
      <c r="H11" s="3">
        <v>5</v>
      </c>
      <c r="I11" s="3"/>
      <c r="J11" t="s">
        <v>80</v>
      </c>
      <c r="L11" s="4">
        <f>3.14159*G11*E11*H11*7.85*2/1000000</f>
        <v>1849.6111125</v>
      </c>
      <c r="M11" s="4">
        <f>G11*G11*1.22*1.22*H11*7.85*2/1000000</f>
        <v>730.24625000000003</v>
      </c>
      <c r="N11" s="4">
        <f t="shared" si="0"/>
        <v>369.92222250000003</v>
      </c>
      <c r="O11" s="6">
        <f>(L11+M11+N11)*E2*2*1.4</f>
        <v>1651876.5675999997</v>
      </c>
      <c r="P11" s="4">
        <f t="shared" si="1"/>
        <v>2949.7795849999998</v>
      </c>
      <c r="Q11">
        <f>D11*1200</f>
        <v>18720</v>
      </c>
      <c r="R11" s="15">
        <f t="shared" si="2"/>
        <v>21669.779585</v>
      </c>
      <c r="S11" s="15">
        <f t="shared" si="5"/>
        <v>21669.779585</v>
      </c>
      <c r="X11" s="4"/>
      <c r="Y11" s="3"/>
    </row>
    <row r="12" spans="1:27" ht="15.75" customHeight="1" x14ac:dyDescent="0.25">
      <c r="A12" t="s">
        <v>86</v>
      </c>
      <c r="B12" t="s">
        <v>106</v>
      </c>
      <c r="E12" s="16">
        <v>3000</v>
      </c>
      <c r="F12" s="3">
        <v>300</v>
      </c>
      <c r="G12">
        <v>300</v>
      </c>
      <c r="H12" s="3">
        <v>3</v>
      </c>
      <c r="I12" s="3"/>
      <c r="J12" t="s">
        <v>80</v>
      </c>
      <c r="L12" s="4">
        <f>3.14159*G12*E12*H12*7.85/1000000</f>
        <v>66.586000049999996</v>
      </c>
      <c r="M12" s="4">
        <f>G12*G12*1.22*1.22*H12*7.85*2/1000000</f>
        <v>6.3093275999999996</v>
      </c>
      <c r="N12" s="4">
        <f t="shared" si="0"/>
        <v>13.317200010000001</v>
      </c>
      <c r="O12" s="6">
        <f>(L12+M12+N12)*E2*3*5</f>
        <v>258637.58298000004</v>
      </c>
      <c r="P12" s="4">
        <f>(L12+M12+N12)</f>
        <v>86.212527660000006</v>
      </c>
      <c r="Q12">
        <v>100</v>
      </c>
      <c r="R12" s="15">
        <f t="shared" si="2"/>
        <v>186.21252766000001</v>
      </c>
      <c r="S12" s="15">
        <f t="shared" si="5"/>
        <v>186.21252766000001</v>
      </c>
      <c r="X12" s="4"/>
      <c r="Y12" s="3"/>
    </row>
    <row r="13" spans="1:27" ht="15.75" customHeight="1" x14ac:dyDescent="0.25">
      <c r="A13" t="s">
        <v>98</v>
      </c>
      <c r="B13" t="s">
        <v>107</v>
      </c>
      <c r="D13">
        <f>D5*0.01</f>
        <v>0.19500000000000001</v>
      </c>
      <c r="E13">
        <v>2400</v>
      </c>
      <c r="F13" s="3">
        <f>SQRT(D13*4*1000/E13/3.14159)*1000</f>
        <v>321.63768496692808</v>
      </c>
      <c r="G13">
        <v>300</v>
      </c>
      <c r="H13" s="3">
        <v>3</v>
      </c>
      <c r="I13" s="3"/>
      <c r="J13" t="s">
        <v>83</v>
      </c>
      <c r="L13" s="4">
        <f>3.14159*G13*E13*H13*8.15/1000000</f>
        <v>55.30455036</v>
      </c>
      <c r="M13" s="4">
        <f>G13*G13*1.05*1.05*(K13+H13)*8.15*2/1000000</f>
        <v>4.8521025</v>
      </c>
      <c r="N13" s="4">
        <f t="shared" si="0"/>
        <v>11.060910072</v>
      </c>
      <c r="O13" s="6">
        <f>(L13+M13+N13)*D2*2</f>
        <v>71217.562932000001</v>
      </c>
      <c r="P13" s="4">
        <f t="shared" si="1"/>
        <v>71.217562932000007</v>
      </c>
      <c r="Q13">
        <f t="shared" ref="Q13:Q14" si="6">D13*800</f>
        <v>156</v>
      </c>
      <c r="R13" s="15">
        <f t="shared" si="2"/>
        <v>227.21756293200002</v>
      </c>
      <c r="S13" s="15">
        <f t="shared" si="5"/>
        <v>227.21756293200002</v>
      </c>
      <c r="X13" s="26"/>
      <c r="Y13" s="26"/>
    </row>
    <row r="14" spans="1:27" ht="15.75" customHeight="1" x14ac:dyDescent="0.25">
      <c r="A14" t="s">
        <v>54</v>
      </c>
      <c r="B14" t="s">
        <v>109</v>
      </c>
      <c r="D14">
        <f>D8*0.02</f>
        <v>0.39</v>
      </c>
      <c r="E14">
        <v>2400</v>
      </c>
      <c r="F14" s="3">
        <f>SQRT(D14*4*1000/E14/3.14159)*1000</f>
        <v>454.86437625051462</v>
      </c>
      <c r="G14">
        <v>300</v>
      </c>
      <c r="H14" s="3">
        <v>3</v>
      </c>
      <c r="I14" s="3"/>
      <c r="J14" t="s">
        <v>80</v>
      </c>
      <c r="L14" s="4">
        <f>3.14159*G14*E14*H14*7.85/1000000</f>
        <v>53.268800039999995</v>
      </c>
      <c r="M14" s="4">
        <f>G14*G14*1.05*1.05*(K14+H14)*7.85*2/1000000</f>
        <v>4.6734974999999999</v>
      </c>
      <c r="N14" s="4">
        <f t="shared" si="0"/>
        <v>10.653760007999999</v>
      </c>
      <c r="O14" s="6">
        <f>(L14+M14+N14)*E2*6</f>
        <v>82315.269057600002</v>
      </c>
      <c r="P14" s="4">
        <f t="shared" si="1"/>
        <v>68.596057548000005</v>
      </c>
      <c r="Q14">
        <f t="shared" si="6"/>
        <v>312</v>
      </c>
      <c r="R14" s="15">
        <f t="shared" si="2"/>
        <v>380.59605754799998</v>
      </c>
      <c r="S14" s="15">
        <f t="shared" si="5"/>
        <v>380.59605754799998</v>
      </c>
      <c r="X14" s="4"/>
      <c r="Y14" s="3"/>
    </row>
    <row r="15" spans="1:27" ht="15.75" customHeight="1" x14ac:dyDescent="0.25">
      <c r="A15" t="s">
        <v>91</v>
      </c>
      <c r="B15" t="s">
        <v>108</v>
      </c>
      <c r="D15" s="17">
        <f>3.14159*0.019*E15*14/1000</f>
        <v>2.0055910559999997</v>
      </c>
      <c r="E15">
        <v>2400</v>
      </c>
      <c r="J15" t="s">
        <v>80</v>
      </c>
      <c r="O15" s="6">
        <v>600000</v>
      </c>
      <c r="X15" s="4"/>
      <c r="Y15" s="3"/>
    </row>
    <row r="16" spans="1:27" ht="15.75" customHeight="1" x14ac:dyDescent="0.25">
      <c r="A16" t="s">
        <v>84</v>
      </c>
      <c r="B16" t="s">
        <v>85</v>
      </c>
      <c r="D16" s="17">
        <f>3.14159*0.019*E16*14/1000</f>
        <v>2.5069888200000001</v>
      </c>
      <c r="E16">
        <v>3000</v>
      </c>
      <c r="J16" t="s">
        <v>80</v>
      </c>
      <c r="O16" s="6">
        <v>200000</v>
      </c>
      <c r="X16" s="4"/>
    </row>
    <row r="17" spans="1:30" ht="15.75" customHeight="1" x14ac:dyDescent="0.25">
      <c r="A17" t="s">
        <v>87</v>
      </c>
      <c r="B17" t="s">
        <v>112</v>
      </c>
      <c r="D17" s="17">
        <f>3.14159*0.019*E17*10/1000</f>
        <v>1.1938041999999998</v>
      </c>
      <c r="E17">
        <v>2000</v>
      </c>
      <c r="J17" t="s">
        <v>80</v>
      </c>
      <c r="O17" s="6">
        <v>150000</v>
      </c>
      <c r="X17" s="26"/>
      <c r="Y17" s="26"/>
    </row>
    <row r="18" spans="1:30" ht="15.75" customHeight="1" x14ac:dyDescent="0.25">
      <c r="A18" t="s">
        <v>88</v>
      </c>
      <c r="B18" t="s">
        <v>113</v>
      </c>
      <c r="D18" s="17">
        <f>3.14159*0.019*E18*10/1000</f>
        <v>1.7907062999999999</v>
      </c>
      <c r="E18">
        <v>3000</v>
      </c>
      <c r="J18" t="s">
        <v>80</v>
      </c>
      <c r="O18" s="6">
        <v>150000</v>
      </c>
      <c r="X18" s="4"/>
      <c r="Y18" s="3"/>
    </row>
    <row r="19" spans="1:30" ht="15.75" customHeight="1" x14ac:dyDescent="0.25">
      <c r="A19" t="s">
        <v>110</v>
      </c>
      <c r="B19" t="s">
        <v>111</v>
      </c>
      <c r="D19" s="17"/>
      <c r="O19" s="6">
        <v>750000</v>
      </c>
      <c r="T19" s="6"/>
      <c r="U19" s="12"/>
      <c r="V19" s="4"/>
      <c r="W19" s="4"/>
      <c r="X19" s="4"/>
      <c r="Y19" s="3"/>
    </row>
    <row r="20" spans="1:30" ht="15.75" customHeight="1" x14ac:dyDescent="0.25">
      <c r="A20" t="s">
        <v>58</v>
      </c>
      <c r="B20" t="s">
        <v>72</v>
      </c>
      <c r="D20">
        <v>100</v>
      </c>
      <c r="E20">
        <v>5000</v>
      </c>
      <c r="F20" s="3">
        <f t="shared" ref="F20:F25" si="7">SQRT(D20*4*1000/E20/3.14159)*1000</f>
        <v>5046.2671752405386</v>
      </c>
      <c r="G20">
        <v>5000</v>
      </c>
      <c r="H20" s="3">
        <v>8</v>
      </c>
      <c r="I20" s="3">
        <v>6</v>
      </c>
      <c r="J20" t="s">
        <v>80</v>
      </c>
      <c r="K20" s="4"/>
      <c r="L20" s="4">
        <f t="shared" ref="L20:L25" si="8">3.14159*G20*E20*(H20+I20)*7.85/2000000</f>
        <v>4315.7592624999997</v>
      </c>
      <c r="M20" s="4">
        <f t="shared" ref="M20:M25" si="9">G20*G20*1.05*1.05*(K20+H20)*7.85/1000000</f>
        <v>1730.925</v>
      </c>
      <c r="N20" s="4">
        <f t="shared" ref="N20:N25" si="10">(K20+L20)*0.2</f>
        <v>863.15185250000002</v>
      </c>
      <c r="O20" s="6">
        <f>(L20+M20+N20)*F2*2*2</f>
        <v>2763934.446</v>
      </c>
      <c r="P20" s="4">
        <f t="shared" ref="P20:P25" si="11">L20+M20+N20</f>
        <v>6909.8361150000001</v>
      </c>
      <c r="Q20">
        <f>D20*900</f>
        <v>90000</v>
      </c>
      <c r="R20" s="15">
        <f t="shared" ref="R20:R25" si="12">P20+Q20</f>
        <v>96909.836114999998</v>
      </c>
      <c r="S20" s="15">
        <f t="shared" ref="S20:S25" si="13">R20</f>
        <v>96909.836114999998</v>
      </c>
      <c r="T20" s="3"/>
      <c r="U20" s="3"/>
      <c r="W20" s="8"/>
    </row>
    <row r="21" spans="1:30" ht="15.75" customHeight="1" x14ac:dyDescent="0.25">
      <c r="A21" t="s">
        <v>59</v>
      </c>
      <c r="B21" t="s">
        <v>73</v>
      </c>
      <c r="D21">
        <v>100</v>
      </c>
      <c r="E21">
        <v>5000</v>
      </c>
      <c r="F21" s="3">
        <f t="shared" si="7"/>
        <v>5046.2671752405386</v>
      </c>
      <c r="G21">
        <v>5000</v>
      </c>
      <c r="H21" s="3">
        <v>8</v>
      </c>
      <c r="I21" s="3">
        <v>6</v>
      </c>
      <c r="J21" t="s">
        <v>80</v>
      </c>
      <c r="K21" s="4"/>
      <c r="L21" s="4">
        <f t="shared" si="8"/>
        <v>4315.7592624999997</v>
      </c>
      <c r="M21" s="4">
        <f t="shared" si="9"/>
        <v>1730.925</v>
      </c>
      <c r="N21" s="4">
        <f t="shared" si="10"/>
        <v>863.15185250000002</v>
      </c>
      <c r="O21" s="6">
        <f>(L21+M21+N21)*F2*2*2</f>
        <v>2763934.446</v>
      </c>
      <c r="P21" s="4">
        <f t="shared" si="11"/>
        <v>6909.8361150000001</v>
      </c>
      <c r="Q21">
        <f>D21*900</f>
        <v>90000</v>
      </c>
      <c r="R21" s="15">
        <f t="shared" si="12"/>
        <v>96909.836114999998</v>
      </c>
      <c r="S21" s="15">
        <f t="shared" si="13"/>
        <v>96909.836114999998</v>
      </c>
      <c r="T21" s="3"/>
      <c r="U21" s="3"/>
      <c r="W21" s="8"/>
    </row>
    <row r="22" spans="1:30" ht="15.75" customHeight="1" x14ac:dyDescent="0.25">
      <c r="A22" t="s">
        <v>13</v>
      </c>
      <c r="B22" t="s">
        <v>74</v>
      </c>
      <c r="D22">
        <v>25</v>
      </c>
      <c r="E22">
        <v>3000</v>
      </c>
      <c r="F22" s="3">
        <f t="shared" si="7"/>
        <v>3257.3514550366253</v>
      </c>
      <c r="G22">
        <v>3000</v>
      </c>
      <c r="H22" s="3">
        <v>6</v>
      </c>
      <c r="I22" s="3">
        <v>5</v>
      </c>
      <c r="J22" t="s">
        <v>80</v>
      </c>
      <c r="K22" s="4"/>
      <c r="L22" s="4">
        <f t="shared" si="8"/>
        <v>1220.7433342500001</v>
      </c>
      <c r="M22" s="4">
        <f t="shared" si="9"/>
        <v>467.34974999999997</v>
      </c>
      <c r="N22" s="4">
        <f t="shared" si="10"/>
        <v>244.14866685000004</v>
      </c>
      <c r="O22" s="6">
        <f>(L22+M22+N22)*F2*2</f>
        <v>386448.35022000008</v>
      </c>
      <c r="P22" s="4">
        <f t="shared" si="11"/>
        <v>1932.2417511000003</v>
      </c>
      <c r="Q22">
        <f>D22*1500</f>
        <v>37500</v>
      </c>
      <c r="R22" s="15">
        <f t="shared" si="12"/>
        <v>39432.241751100002</v>
      </c>
      <c r="S22" s="15">
        <f t="shared" si="13"/>
        <v>39432.241751100002</v>
      </c>
    </row>
    <row r="23" spans="1:30" ht="15.75" customHeight="1" x14ac:dyDescent="0.25">
      <c r="A23" t="s">
        <v>57</v>
      </c>
      <c r="B23" t="s">
        <v>78</v>
      </c>
      <c r="D23">
        <v>20</v>
      </c>
      <c r="E23">
        <v>3600</v>
      </c>
      <c r="F23" s="3">
        <f t="shared" si="7"/>
        <v>2659.6163259173577</v>
      </c>
      <c r="G23" s="3">
        <v>2500</v>
      </c>
      <c r="H23" s="3">
        <v>6</v>
      </c>
      <c r="I23" s="3"/>
      <c r="J23" s="3"/>
      <c r="K23" s="4"/>
      <c r="L23" s="4">
        <f t="shared" ref="L23" si="14">3.14159*G23*E23*(H23+I23)*7.85/2000000</f>
        <v>665.86000049999984</v>
      </c>
      <c r="M23" s="4">
        <f t="shared" ref="M23" si="15">G23*G23*1.05*1.05*(K23+H23)*7.85/1000000</f>
        <v>324.54843749999998</v>
      </c>
      <c r="N23" s="4">
        <f t="shared" ref="N23" si="16">(K23+L23)*0.2</f>
        <v>133.17200009999996</v>
      </c>
      <c r="O23" s="6">
        <f>(L23+M23+N23)*F2*2</f>
        <v>224716.08761999995</v>
      </c>
      <c r="P23" s="4">
        <f t="shared" ref="P23" si="17">L23+M23+N23</f>
        <v>1123.5804380999998</v>
      </c>
      <c r="Q23">
        <f>D23*1500</f>
        <v>30000</v>
      </c>
      <c r="R23" s="15">
        <f t="shared" ref="R23" si="18">P23+Q23</f>
        <v>31123.580438099998</v>
      </c>
      <c r="S23" s="15">
        <f t="shared" ref="S23" si="19">R23</f>
        <v>31123.580438099998</v>
      </c>
    </row>
    <row r="24" spans="1:30" ht="15.75" customHeight="1" x14ac:dyDescent="0.25">
      <c r="A24" t="s">
        <v>56</v>
      </c>
      <c r="B24" t="s">
        <v>75</v>
      </c>
      <c r="D24">
        <v>25</v>
      </c>
      <c r="E24">
        <v>3000</v>
      </c>
      <c r="F24" s="3">
        <f t="shared" si="7"/>
        <v>3257.3514550366253</v>
      </c>
      <c r="G24">
        <v>3000</v>
      </c>
      <c r="H24" s="3">
        <v>6</v>
      </c>
      <c r="I24" s="3">
        <v>5</v>
      </c>
      <c r="J24" t="s">
        <v>80</v>
      </c>
      <c r="K24" s="4"/>
      <c r="L24" s="4">
        <f t="shared" si="8"/>
        <v>1220.7433342500001</v>
      </c>
      <c r="M24" s="4">
        <f t="shared" si="9"/>
        <v>467.34974999999997</v>
      </c>
      <c r="N24" s="4">
        <f t="shared" si="10"/>
        <v>244.14866685000004</v>
      </c>
      <c r="O24" s="6">
        <f>(L24+M24+N24)*F2*2</f>
        <v>386448.35022000008</v>
      </c>
      <c r="P24" s="4">
        <f t="shared" si="11"/>
        <v>1932.2417511000003</v>
      </c>
      <c r="Q24">
        <f>D24*1000</f>
        <v>25000</v>
      </c>
      <c r="R24" s="15">
        <f t="shared" si="12"/>
        <v>26932.241751100002</v>
      </c>
      <c r="S24" s="15">
        <f t="shared" si="13"/>
        <v>26932.241751100002</v>
      </c>
    </row>
    <row r="25" spans="1:30" ht="15.75" customHeight="1" x14ac:dyDescent="0.25">
      <c r="A25" t="s">
        <v>55</v>
      </c>
      <c r="B25" t="s">
        <v>76</v>
      </c>
      <c r="D25">
        <v>20</v>
      </c>
      <c r="E25">
        <v>3000</v>
      </c>
      <c r="F25" s="3">
        <f t="shared" si="7"/>
        <v>2913.4637120278971</v>
      </c>
      <c r="G25">
        <v>3000</v>
      </c>
      <c r="H25" s="3">
        <v>6</v>
      </c>
      <c r="I25" s="3">
        <v>5</v>
      </c>
      <c r="J25" t="s">
        <v>80</v>
      </c>
      <c r="K25" s="4"/>
      <c r="L25" s="4">
        <f t="shared" si="8"/>
        <v>1220.7433342500001</v>
      </c>
      <c r="M25" s="4">
        <f t="shared" si="9"/>
        <v>467.34974999999997</v>
      </c>
      <c r="N25" s="4">
        <f t="shared" si="10"/>
        <v>244.14866685000004</v>
      </c>
      <c r="O25" s="6">
        <f>(L25+M25+N25)*F2*2</f>
        <v>386448.35022000008</v>
      </c>
      <c r="P25" s="4">
        <f t="shared" si="11"/>
        <v>1932.2417511000003</v>
      </c>
      <c r="Q25">
        <f t="shared" ref="Q25" si="20">D25*800</f>
        <v>16000</v>
      </c>
      <c r="R25" s="15">
        <f t="shared" si="12"/>
        <v>17932.241751100002</v>
      </c>
      <c r="S25" s="15">
        <f t="shared" si="13"/>
        <v>17932.241751100002</v>
      </c>
      <c r="T25" s="3"/>
      <c r="U25" s="3"/>
      <c r="W25" s="8"/>
    </row>
    <row r="26" spans="1:30" ht="15.75" customHeight="1" x14ac:dyDescent="0.25">
      <c r="O26" s="6"/>
      <c r="P26" s="6"/>
      <c r="Q26" s="6"/>
      <c r="R26" s="6"/>
      <c r="S26" s="6"/>
    </row>
    <row r="27" spans="1:30" ht="15.75" customHeight="1" x14ac:dyDescent="0.25">
      <c r="N27" t="s">
        <v>12</v>
      </c>
      <c r="O27" s="6">
        <f>SUM(O5:O25)</f>
        <v>27876029.588733595</v>
      </c>
      <c r="P27" s="6"/>
      <c r="Q27" s="6"/>
      <c r="R27" s="6"/>
      <c r="S27" s="6"/>
    </row>
    <row r="28" spans="1:30" ht="15.75" customHeight="1" x14ac:dyDescent="0.25">
      <c r="A28" s="24" t="s">
        <v>116</v>
      </c>
      <c r="H28" s="4"/>
      <c r="L28" s="4"/>
      <c r="M28" s="4"/>
      <c r="N28" s="4"/>
      <c r="O28" s="6"/>
      <c r="P28" s="4"/>
      <c r="R28" s="4"/>
      <c r="S28" s="4"/>
    </row>
    <row r="29" spans="1:30" ht="15.75" customHeight="1" x14ac:dyDescent="0.25">
      <c r="A29" t="s">
        <v>102</v>
      </c>
      <c r="E29" t="s">
        <v>101</v>
      </c>
      <c r="F29">
        <f>F31/2000*3</f>
        <v>5.33</v>
      </c>
      <c r="G29">
        <v>6</v>
      </c>
      <c r="H29" s="4"/>
      <c r="L29" s="4"/>
      <c r="M29" s="4"/>
      <c r="N29" s="4"/>
      <c r="O29" s="6"/>
      <c r="P29" s="4"/>
      <c r="R29" s="4"/>
      <c r="S29" s="4"/>
    </row>
    <row r="30" spans="1:30" x14ac:dyDescent="0.25">
      <c r="A30" t="s">
        <v>100</v>
      </c>
      <c r="Y30" s="4"/>
      <c r="Z30" s="4"/>
      <c r="AB30" s="4"/>
      <c r="AD30" s="4"/>
    </row>
    <row r="31" spans="1:30" x14ac:dyDescent="0.25">
      <c r="A31" t="s">
        <v>14</v>
      </c>
      <c r="E31" t="s">
        <v>16</v>
      </c>
      <c r="F31" s="3">
        <f>(D5*2+D8+D10*2+D11)*40000/450/2</f>
        <v>3553.333333333333</v>
      </c>
      <c r="G31">
        <v>4000</v>
      </c>
    </row>
    <row r="32" spans="1:30" x14ac:dyDescent="0.25">
      <c r="A32" t="s">
        <v>15</v>
      </c>
      <c r="E32" t="s">
        <v>17</v>
      </c>
      <c r="G32">
        <f>G31*450/3/600</f>
        <v>1000</v>
      </c>
    </row>
    <row r="34" spans="1:4" x14ac:dyDescent="0.25">
      <c r="A34" s="24" t="s">
        <v>41</v>
      </c>
    </row>
    <row r="35" spans="1:4" ht="45" x14ac:dyDescent="0.25">
      <c r="A35" s="19" t="s">
        <v>38</v>
      </c>
      <c r="B35" s="19" t="s">
        <v>82</v>
      </c>
      <c r="C35" s="19" t="s">
        <v>39</v>
      </c>
      <c r="D35" s="19" t="s">
        <v>40</v>
      </c>
    </row>
    <row r="36" spans="1:4" x14ac:dyDescent="0.25">
      <c r="A36" s="6" t="s">
        <v>46</v>
      </c>
      <c r="B36" s="12">
        <f>G32</f>
        <v>1000</v>
      </c>
      <c r="C36" s="4">
        <f>SQRT(B36/1000/60/3.14)*1000</f>
        <v>72.855031578655996</v>
      </c>
      <c r="D36" s="4">
        <f>SQRT(B36*3/4/1000/60/3.14)*1000</f>
        <v>63.094308140633586</v>
      </c>
    </row>
    <row r="37" spans="1:4" x14ac:dyDescent="0.25">
      <c r="A37" s="6" t="s">
        <v>60</v>
      </c>
      <c r="B37" s="12">
        <f>D5*1000/60</f>
        <v>325</v>
      </c>
      <c r="C37" s="4">
        <f>SQRT(B37/1000/60/3.14)*1000</f>
        <v>41.533758300402617</v>
      </c>
      <c r="D37" s="4">
        <f>SQRT(B37*3/4/1000/60/3.14)*1000</f>
        <v>35.969289802791451</v>
      </c>
    </row>
    <row r="38" spans="1:4" x14ac:dyDescent="0.25">
      <c r="A38" s="6" t="s">
        <v>61</v>
      </c>
      <c r="B38" s="12">
        <f>D8*1000/60</f>
        <v>325</v>
      </c>
      <c r="C38" s="4">
        <f t="shared" ref="C38:C49" si="21">SQRT(B38/1000/60/3.14)*1000</f>
        <v>41.533758300402617</v>
      </c>
      <c r="D38" s="4">
        <f t="shared" ref="D38:D49" si="22">SQRT(B38*3/4/1000/60/3.14)*1000</f>
        <v>35.969289802791451</v>
      </c>
    </row>
    <row r="39" spans="1:4" x14ac:dyDescent="0.25">
      <c r="A39" s="6" t="s">
        <v>62</v>
      </c>
      <c r="B39" s="12">
        <f>D9*1000*0.1/60</f>
        <v>32.5</v>
      </c>
      <c r="C39" s="4">
        <f t="shared" si="21"/>
        <v>13.134127601619619</v>
      </c>
      <c r="D39" s="4">
        <f t="shared" si="22"/>
        <v>11.374488159548971</v>
      </c>
    </row>
    <row r="40" spans="1:4" x14ac:dyDescent="0.25">
      <c r="A40" s="6" t="s">
        <v>47</v>
      </c>
      <c r="B40" s="12">
        <f>D9*1000*0.9/60</f>
        <v>292.5</v>
      </c>
      <c r="C40" s="4">
        <f t="shared" si="21"/>
        <v>39.402382804858853</v>
      </c>
      <c r="D40" s="4">
        <f t="shared" si="22"/>
        <v>34.123464478646916</v>
      </c>
    </row>
    <row r="41" spans="1:4" x14ac:dyDescent="0.25">
      <c r="A41" s="6" t="s">
        <v>63</v>
      </c>
      <c r="B41" s="12">
        <f>B40</f>
        <v>292.5</v>
      </c>
      <c r="C41" s="4">
        <f t="shared" si="21"/>
        <v>39.402382804858853</v>
      </c>
      <c r="D41" s="4">
        <f t="shared" si="22"/>
        <v>34.123464478646916</v>
      </c>
    </row>
    <row r="42" spans="1:4" x14ac:dyDescent="0.25">
      <c r="A42" s="6" t="s">
        <v>64</v>
      </c>
      <c r="B42" s="12">
        <f>D10*1000/60</f>
        <v>48.75</v>
      </c>
      <c r="C42" s="4">
        <f t="shared" si="21"/>
        <v>16.085955420286339</v>
      </c>
      <c r="D42" s="4">
        <f t="shared" si="22"/>
        <v>13.930846038111957</v>
      </c>
    </row>
    <row r="43" spans="1:4" x14ac:dyDescent="0.25">
      <c r="A43" s="6" t="s">
        <v>65</v>
      </c>
      <c r="B43" s="12">
        <f>D11*1000/60</f>
        <v>260.00000000000006</v>
      </c>
      <c r="C43" s="4">
        <f t="shared" si="21"/>
        <v>37.148922768298554</v>
      </c>
      <c r="D43" s="4">
        <f t="shared" si="22"/>
        <v>32.171910840572686</v>
      </c>
    </row>
    <row r="44" spans="1:4" x14ac:dyDescent="0.25">
      <c r="A44" s="6" t="s">
        <v>66</v>
      </c>
      <c r="B44" s="12">
        <f>10000/60</f>
        <v>166.66666666666666</v>
      </c>
      <c r="C44" s="4">
        <f t="shared" si="21"/>
        <v>29.742942093677069</v>
      </c>
      <c r="D44" s="4">
        <f t="shared" si="22"/>
        <v>25.75814343641386</v>
      </c>
    </row>
    <row r="45" spans="1:4" x14ac:dyDescent="0.25">
      <c r="A45" s="6" t="s">
        <v>67</v>
      </c>
      <c r="B45" s="12">
        <f>G31*1.2/60</f>
        <v>80</v>
      </c>
      <c r="C45" s="4">
        <f t="shared" si="21"/>
        <v>20.606514749131087</v>
      </c>
      <c r="D45" s="4">
        <f t="shared" si="22"/>
        <v>17.845765256206239</v>
      </c>
    </row>
    <row r="46" spans="1:4" x14ac:dyDescent="0.25">
      <c r="A46" s="6" t="s">
        <v>68</v>
      </c>
      <c r="B46" s="12">
        <f>D6*1000/60</f>
        <v>100</v>
      </c>
      <c r="C46" s="4">
        <f t="shared" si="21"/>
        <v>23.038783879204569</v>
      </c>
      <c r="D46" s="4">
        <f t="shared" si="22"/>
        <v>19.952172111690555</v>
      </c>
    </row>
    <row r="47" spans="1:4" x14ac:dyDescent="0.25">
      <c r="A47" s="6" t="s">
        <v>69</v>
      </c>
      <c r="B47" s="12">
        <f>10000/60</f>
        <v>166.66666666666666</v>
      </c>
      <c r="C47" s="4">
        <f t="shared" si="21"/>
        <v>29.742942093677069</v>
      </c>
      <c r="D47" s="4">
        <f t="shared" si="22"/>
        <v>25.75814343641386</v>
      </c>
    </row>
    <row r="48" spans="1:4" x14ac:dyDescent="0.25">
      <c r="A48" s="6" t="s">
        <v>70</v>
      </c>
      <c r="B48" s="12">
        <f>D7*1000/60</f>
        <v>300</v>
      </c>
      <c r="C48" s="4">
        <f t="shared" si="21"/>
        <v>39.904344223381109</v>
      </c>
      <c r="D48" s="4">
        <f t="shared" si="22"/>
        <v>34.558175818806852</v>
      </c>
    </row>
    <row r="49" spans="1:4" x14ac:dyDescent="0.25">
      <c r="A49" s="6" t="s">
        <v>71</v>
      </c>
      <c r="B49" s="12">
        <f>10000/60</f>
        <v>166.66666666666666</v>
      </c>
      <c r="C49" s="4">
        <f t="shared" si="21"/>
        <v>29.742942093677069</v>
      </c>
      <c r="D49" s="4">
        <f t="shared" si="22"/>
        <v>25.75814343641386</v>
      </c>
    </row>
  </sheetData>
  <mergeCells count="5">
    <mergeCell ref="X17:Y17"/>
    <mergeCell ref="H4:I4"/>
    <mergeCell ref="X5:Y5"/>
    <mergeCell ref="X9:Y9"/>
    <mergeCell ref="X13:Y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J7" sqref="J7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ht="19.5" customHeight="1" x14ac:dyDescent="0.25">
      <c r="A1" s="27" t="s">
        <v>18</v>
      </c>
      <c r="B1" s="27"/>
      <c r="C1" s="27"/>
      <c r="D1" s="27"/>
      <c r="E1">
        <v>200</v>
      </c>
    </row>
    <row r="2" spans="1:16" ht="40.5" customHeight="1" x14ac:dyDescent="0.25">
      <c r="A2" s="25" t="s">
        <v>115</v>
      </c>
      <c r="B2" s="10"/>
      <c r="C2" s="10"/>
      <c r="D2" s="10"/>
    </row>
    <row r="3" spans="1:16" ht="19.5" customHeight="1" x14ac:dyDescent="0.25">
      <c r="A3" t="s">
        <v>33</v>
      </c>
      <c r="B3">
        <v>100000</v>
      </c>
      <c r="C3" t="s">
        <v>34</v>
      </c>
    </row>
    <row r="4" spans="1:16" ht="58.5" customHeight="1" x14ac:dyDescent="0.25">
      <c r="A4" s="10" t="s">
        <v>2</v>
      </c>
      <c r="B4" s="10" t="s">
        <v>32</v>
      </c>
      <c r="C4" s="10" t="s">
        <v>3</v>
      </c>
      <c r="D4" s="10" t="s">
        <v>4</v>
      </c>
      <c r="E4" s="10" t="s">
        <v>5</v>
      </c>
      <c r="F4" s="10" t="s">
        <v>9</v>
      </c>
      <c r="G4" s="10" t="s">
        <v>105</v>
      </c>
      <c r="H4" s="10" t="s">
        <v>11</v>
      </c>
      <c r="I4" s="10" t="s">
        <v>117</v>
      </c>
      <c r="J4" s="9" t="s">
        <v>10</v>
      </c>
      <c r="K4" s="11" t="s">
        <v>42</v>
      </c>
      <c r="L4" s="11" t="s">
        <v>44</v>
      </c>
      <c r="M4" s="11" t="s">
        <v>43</v>
      </c>
      <c r="N4" s="11" t="s">
        <v>45</v>
      </c>
    </row>
    <row r="5" spans="1:16" ht="19.5" customHeight="1" x14ac:dyDescent="0.25">
      <c r="A5" s="2" t="s">
        <v>1</v>
      </c>
      <c r="B5">
        <v>7500</v>
      </c>
      <c r="C5">
        <v>2400</v>
      </c>
      <c r="D5" s="3">
        <f>SQRT(B5*4/C5/3.14159)*1000</f>
        <v>1994.7122444380184</v>
      </c>
      <c r="E5">
        <v>2000</v>
      </c>
      <c r="F5" s="4">
        <v>4</v>
      </c>
      <c r="G5" s="4">
        <f>3.14159*E5*C5*F5*7.85/1000000</f>
        <v>473.50044479999991</v>
      </c>
      <c r="H5" s="4">
        <f>E5*E5*1.22*1.22*F5*7.85*2/1000000</f>
        <v>373.88607999999999</v>
      </c>
      <c r="I5" s="4">
        <f t="shared" ref="I5:I14" si="0">G5*0.2</f>
        <v>94.700088959999988</v>
      </c>
      <c r="J5" s="6">
        <f>(G5+H5+I5)*E1</f>
        <v>188417.32275200001</v>
      </c>
      <c r="K5" s="4">
        <f t="shared" ref="K5:K14" si="1">G5+H5+I5</f>
        <v>942.08661375999998</v>
      </c>
      <c r="L5" s="4">
        <f>K5*0.8</f>
        <v>753.66929100800007</v>
      </c>
      <c r="M5" s="4">
        <f>K5+L5</f>
        <v>1695.7559047680002</v>
      </c>
      <c r="N5" s="4">
        <f>M5</f>
        <v>1695.7559047680002</v>
      </c>
    </row>
    <row r="6" spans="1:16" ht="19.5" customHeight="1" x14ac:dyDescent="0.25">
      <c r="A6" t="s">
        <v>21</v>
      </c>
      <c r="B6">
        <v>30000</v>
      </c>
      <c r="C6">
        <v>4000</v>
      </c>
      <c r="D6" s="3">
        <f>SQRT(B6*4/C6/3.14159)*1000</f>
        <v>3090.194921273785</v>
      </c>
      <c r="E6">
        <v>3000</v>
      </c>
      <c r="F6" s="4">
        <v>8</v>
      </c>
      <c r="G6" s="4">
        <f>3.14159*E6*C6*F6*7.85*2/1000000</f>
        <v>4735.0044479999997</v>
      </c>
      <c r="H6" s="4">
        <f>E6*E6*1.22*1.22*F6*7.85*2/1000000</f>
        <v>1682.4873600000001</v>
      </c>
      <c r="I6" s="4">
        <f t="shared" si="0"/>
        <v>947.00088959999994</v>
      </c>
      <c r="J6" s="6">
        <f>(G6+H6+I6)*E1</f>
        <v>1472898.5395199999</v>
      </c>
      <c r="K6" s="4">
        <f t="shared" si="1"/>
        <v>7364.4926975999997</v>
      </c>
      <c r="L6" s="4">
        <f t="shared" ref="L6:L14" si="2">K6*0.8</f>
        <v>5891.5941580799999</v>
      </c>
      <c r="M6" s="4">
        <f t="shared" ref="M6:M14" si="3">K6+L6</f>
        <v>13256.08685568</v>
      </c>
      <c r="N6" s="4">
        <f t="shared" ref="N6:N14" si="4">M6</f>
        <v>13256.08685568</v>
      </c>
    </row>
    <row r="7" spans="1:16" ht="19.5" customHeight="1" x14ac:dyDescent="0.25">
      <c r="A7" t="s">
        <v>6</v>
      </c>
      <c r="B7" s="3">
        <f>3.14159*C7*E7*E7/4000000</f>
        <v>248.87283281250001</v>
      </c>
      <c r="C7">
        <v>3000</v>
      </c>
      <c r="D7" s="3"/>
      <c r="E7">
        <v>325</v>
      </c>
      <c r="F7" s="4">
        <v>6</v>
      </c>
      <c r="G7" s="4">
        <f>3.14159*E7*C7*F7*7.85/1000000</f>
        <v>144.26966677500002</v>
      </c>
      <c r="H7" s="4">
        <f>E7*E7*1.22*1.22*F7*7.85/1000000</f>
        <v>7.4046969749999993</v>
      </c>
      <c r="I7" s="4">
        <f t="shared" si="0"/>
        <v>28.853933355000006</v>
      </c>
      <c r="J7" s="6">
        <f>(G7+H7+I7)*E1*1.5</f>
        <v>54158.489131500006</v>
      </c>
      <c r="K7" s="4">
        <f t="shared" si="1"/>
        <v>180.52829710500004</v>
      </c>
      <c r="L7" s="4">
        <f t="shared" si="2"/>
        <v>144.42263768400002</v>
      </c>
      <c r="M7" s="4">
        <f t="shared" si="3"/>
        <v>324.95093478900003</v>
      </c>
      <c r="N7" s="4">
        <f t="shared" si="4"/>
        <v>324.95093478900003</v>
      </c>
    </row>
    <row r="8" spans="1:16" ht="19.5" customHeight="1" x14ac:dyDescent="0.25">
      <c r="A8" t="s">
        <v>22</v>
      </c>
      <c r="B8">
        <v>3000</v>
      </c>
      <c r="C8">
        <v>1800</v>
      </c>
      <c r="D8" s="3">
        <f>SQRT(B8*4/C8/3.14159)*1000</f>
        <v>1456.7318560139486</v>
      </c>
      <c r="E8">
        <v>1500</v>
      </c>
      <c r="F8" s="4">
        <v>6</v>
      </c>
      <c r="G8" s="4">
        <f>3.14159*E8*C8*F8*7.85/1000000</f>
        <v>399.51600029999997</v>
      </c>
      <c r="H8" s="4">
        <f>E8*E8*1.22*1.22*F8*7.85*2/1000000</f>
        <v>315.46638000000002</v>
      </c>
      <c r="I8" s="4">
        <f t="shared" si="0"/>
        <v>79.903200060000003</v>
      </c>
      <c r="J8" s="6">
        <f>(G8+H8+I8)*E1</f>
        <v>158977.116072</v>
      </c>
      <c r="K8" s="4">
        <f t="shared" si="1"/>
        <v>794.88558035999995</v>
      </c>
      <c r="L8" s="4">
        <f t="shared" si="2"/>
        <v>635.908464288</v>
      </c>
      <c r="M8" s="4">
        <f t="shared" si="3"/>
        <v>1430.794044648</v>
      </c>
      <c r="N8" s="4">
        <f t="shared" si="4"/>
        <v>1430.794044648</v>
      </c>
    </row>
    <row r="9" spans="1:16" ht="19.5" customHeight="1" x14ac:dyDescent="0.25">
      <c r="A9" t="s">
        <v>7</v>
      </c>
      <c r="B9">
        <v>15000</v>
      </c>
      <c r="C9" s="7">
        <v>3000</v>
      </c>
      <c r="D9" s="3">
        <f>SQRT(B9*4/C9/3.14159)*1000</f>
        <v>2523.1335876202693</v>
      </c>
      <c r="E9">
        <v>2500</v>
      </c>
      <c r="F9" s="4">
        <v>8</v>
      </c>
      <c r="G9" s="4">
        <f>3.14159*E9*C9*F9*7.85*2/1000000</f>
        <v>2959.3777799999998</v>
      </c>
      <c r="H9" s="4">
        <f>E9*E9*1.22*1.22*F9*7.85*2/1000000</f>
        <v>1168.394</v>
      </c>
      <c r="I9" s="4">
        <f t="shared" si="0"/>
        <v>591.87555599999996</v>
      </c>
      <c r="J9" s="6">
        <f>(G9+H9+I9)*E1</f>
        <v>943929.46719999996</v>
      </c>
      <c r="K9" s="4">
        <f t="shared" si="1"/>
        <v>4719.647336</v>
      </c>
      <c r="L9" s="4">
        <f t="shared" si="2"/>
        <v>3775.7178688000004</v>
      </c>
      <c r="M9" s="4">
        <f t="shared" si="3"/>
        <v>8495.3652048000004</v>
      </c>
      <c r="N9" s="4">
        <f t="shared" si="4"/>
        <v>8495.3652048000004</v>
      </c>
    </row>
    <row r="10" spans="1:16" ht="19.5" customHeight="1" x14ac:dyDescent="0.25">
      <c r="A10" t="s">
        <v>23</v>
      </c>
      <c r="B10" s="3">
        <f>3.14159*C10*E10*E10/4000000</f>
        <v>497.74566562500002</v>
      </c>
      <c r="C10" s="7">
        <v>6000</v>
      </c>
      <c r="D10" s="3"/>
      <c r="E10">
        <v>325</v>
      </c>
      <c r="F10" s="4">
        <v>6</v>
      </c>
      <c r="G10" s="4">
        <f>3.14159*E10*C10*F10*7.85/1000000</f>
        <v>288.53933355000004</v>
      </c>
      <c r="H10" s="4">
        <f>E10*E10*1.22*1.22*F10*7.85/1000000</f>
        <v>7.4046969749999993</v>
      </c>
      <c r="I10" s="4">
        <f t="shared" si="0"/>
        <v>57.707866710000012</v>
      </c>
      <c r="J10" s="6">
        <f>(G10+H10+I10)*E1</f>
        <v>70730.379447000014</v>
      </c>
      <c r="K10" s="4">
        <f t="shared" si="1"/>
        <v>353.65189723500004</v>
      </c>
      <c r="L10" s="4">
        <f t="shared" si="2"/>
        <v>282.92151778800002</v>
      </c>
      <c r="M10" s="4">
        <f t="shared" si="3"/>
        <v>636.57341502300005</v>
      </c>
      <c r="N10" s="4">
        <f t="shared" si="4"/>
        <v>636.57341502300005</v>
      </c>
    </row>
    <row r="11" spans="1:16" ht="19.5" customHeight="1" x14ac:dyDescent="0.25">
      <c r="A11" t="s">
        <v>8</v>
      </c>
      <c r="B11">
        <v>7500</v>
      </c>
      <c r="C11" s="7">
        <v>2400</v>
      </c>
      <c r="D11" s="3">
        <f>SQRT(B11*4/C11/3.14159)*1000</f>
        <v>1994.7122444380184</v>
      </c>
      <c r="E11">
        <v>2000</v>
      </c>
      <c r="F11" s="4">
        <v>6</v>
      </c>
      <c r="G11" s="4">
        <f>3.14159*E11*C11*F11*7.85/1000000</f>
        <v>710.25066719999984</v>
      </c>
      <c r="H11" s="4">
        <f>E11*E11*1.22*1.22*F11*7.85*2/1000000</f>
        <v>560.82911999999999</v>
      </c>
      <c r="I11" s="4">
        <f t="shared" si="0"/>
        <v>142.05013343999997</v>
      </c>
      <c r="J11" s="6">
        <f>(G11+H11+I11)*E1*2.5</f>
        <v>706564.96031999995</v>
      </c>
      <c r="K11" s="4">
        <f t="shared" si="1"/>
        <v>1413.1299206399999</v>
      </c>
      <c r="L11" s="4">
        <f t="shared" si="2"/>
        <v>1130.5039365119999</v>
      </c>
      <c r="M11" s="4">
        <f t="shared" si="3"/>
        <v>2543.633857152</v>
      </c>
      <c r="N11" s="4">
        <f t="shared" si="4"/>
        <v>2543.633857152</v>
      </c>
    </row>
    <row r="12" spans="1:16" ht="19.5" customHeight="1" x14ac:dyDescent="0.25">
      <c r="A12" t="s">
        <v>24</v>
      </c>
      <c r="B12">
        <v>15000</v>
      </c>
      <c r="C12" s="7">
        <v>4000</v>
      </c>
      <c r="D12" s="3">
        <f>SQRT(B12*4/C12/3.14159)*1000</f>
        <v>2185.0977840209225</v>
      </c>
      <c r="E12">
        <v>2200</v>
      </c>
      <c r="F12" s="4">
        <v>8</v>
      </c>
      <c r="G12" s="4">
        <f>3.14159*E12*C12*F12*7.85*2/1000000</f>
        <v>3472.3365951999999</v>
      </c>
      <c r="H12" s="4">
        <f>E12*E12*1.22*1.22*F12*7.85*2/1000000</f>
        <v>904.80431359999989</v>
      </c>
      <c r="I12" s="4">
        <f t="shared" si="0"/>
        <v>694.46731904000001</v>
      </c>
      <c r="J12" s="6">
        <f>(G12+H12+I12)*E1</f>
        <v>1014321.645568</v>
      </c>
      <c r="K12" s="4">
        <f t="shared" si="1"/>
        <v>5071.6082278399999</v>
      </c>
      <c r="L12" s="4">
        <f t="shared" si="2"/>
        <v>4057.286582272</v>
      </c>
      <c r="M12" s="4">
        <f t="shared" si="3"/>
        <v>9128.8948101120004</v>
      </c>
      <c r="N12" s="4">
        <f t="shared" si="4"/>
        <v>9128.8948101120004</v>
      </c>
    </row>
    <row r="13" spans="1:16" ht="19.5" customHeight="1" x14ac:dyDescent="0.25">
      <c r="A13" t="s">
        <v>25</v>
      </c>
      <c r="B13" s="3">
        <f>3.14159*C13*E13*E13/4000000</f>
        <v>497.74566562500002</v>
      </c>
      <c r="C13" s="7">
        <v>6000</v>
      </c>
      <c r="D13" s="3"/>
      <c r="E13">
        <v>325</v>
      </c>
      <c r="F13" s="4">
        <v>6</v>
      </c>
      <c r="G13" s="4">
        <f>3.14159*E13*C13*F13*7.85/1000000</f>
        <v>288.53933355000004</v>
      </c>
      <c r="H13" s="4">
        <f>E13*E13*1.22*1.22*F13*7.85/1000000</f>
        <v>7.4046969749999993</v>
      </c>
      <c r="I13" s="4">
        <f t="shared" si="0"/>
        <v>57.707866710000012</v>
      </c>
      <c r="J13" s="6">
        <f>(G13+H13+I13)*E1</f>
        <v>70730.379447000014</v>
      </c>
      <c r="K13" s="4">
        <f t="shared" si="1"/>
        <v>353.65189723500004</v>
      </c>
      <c r="L13" s="4">
        <f t="shared" si="2"/>
        <v>282.92151778800002</v>
      </c>
      <c r="M13" s="4">
        <f t="shared" si="3"/>
        <v>636.57341502300005</v>
      </c>
      <c r="N13" s="4">
        <f t="shared" si="4"/>
        <v>636.57341502300005</v>
      </c>
    </row>
    <row r="14" spans="1:16" ht="19.5" customHeight="1" x14ac:dyDescent="0.25">
      <c r="A14" t="s">
        <v>26</v>
      </c>
      <c r="B14">
        <v>7500</v>
      </c>
      <c r="C14" s="7">
        <v>2400</v>
      </c>
      <c r="D14" s="3">
        <f>SQRT(B14*4/C14/3.14159)*1000</f>
        <v>1994.7122444380184</v>
      </c>
      <c r="E14">
        <v>2000</v>
      </c>
      <c r="F14" s="4">
        <v>8</v>
      </c>
      <c r="G14" s="4">
        <f>3.14159*E14*C14*F14*7.85/1000000</f>
        <v>947.00088959999982</v>
      </c>
      <c r="H14" s="4">
        <f>E14*E14*1.22*1.22*F14*7.85*2/1000000</f>
        <v>747.77215999999999</v>
      </c>
      <c r="I14" s="4">
        <f t="shared" si="0"/>
        <v>189.40017791999998</v>
      </c>
      <c r="J14" s="6">
        <f>(G14+H14+I14)*E1</f>
        <v>376834.64550400001</v>
      </c>
      <c r="K14" s="4">
        <f t="shared" si="1"/>
        <v>1884.17322752</v>
      </c>
      <c r="L14" s="4">
        <f t="shared" si="2"/>
        <v>1507.3385820160001</v>
      </c>
      <c r="M14" s="4">
        <f t="shared" si="3"/>
        <v>3391.5118095360003</v>
      </c>
      <c r="N14" s="4">
        <f t="shared" si="4"/>
        <v>3391.5118095360003</v>
      </c>
    </row>
    <row r="15" spans="1:16" ht="19.5" customHeight="1" x14ac:dyDescent="0.25">
      <c r="A15" t="s">
        <v>118</v>
      </c>
      <c r="C15" s="7"/>
      <c r="D15" s="3"/>
      <c r="F15" s="4"/>
      <c r="G15" s="4"/>
      <c r="H15" s="4"/>
      <c r="I15" s="4"/>
      <c r="J15" s="6">
        <v>500000</v>
      </c>
      <c r="K15" s="8"/>
      <c r="L15" s="3"/>
      <c r="M15" s="4"/>
      <c r="N15" s="4"/>
      <c r="O15" s="4"/>
      <c r="P15" s="4"/>
    </row>
    <row r="16" spans="1:16" ht="19.5" customHeight="1" x14ac:dyDescent="0.25">
      <c r="C16" s="7"/>
      <c r="D16" s="3"/>
      <c r="F16" s="4"/>
      <c r="G16" s="4"/>
      <c r="H16" s="4"/>
      <c r="I16" s="4"/>
      <c r="J16" s="6"/>
      <c r="K16" s="8"/>
      <c r="L16" s="3"/>
      <c r="M16" s="4"/>
      <c r="N16" s="4"/>
      <c r="O16" s="4"/>
      <c r="P16" s="4"/>
    </row>
    <row r="17" spans="1:15" ht="19.5" customHeight="1" x14ac:dyDescent="0.25">
      <c r="C17" s="7"/>
      <c r="D17" s="3"/>
      <c r="F17" s="4"/>
      <c r="G17" s="4"/>
      <c r="H17" s="4"/>
      <c r="I17" s="4" t="s">
        <v>12</v>
      </c>
      <c r="J17" s="6">
        <f>SUM(J5:J15)</f>
        <v>5557562.9449614994</v>
      </c>
      <c r="K17" s="8"/>
      <c r="L17" s="3"/>
      <c r="M17" s="4"/>
      <c r="O17" s="4"/>
    </row>
    <row r="18" spans="1:15" ht="19.5" customHeight="1" x14ac:dyDescent="0.25">
      <c r="C18" s="7"/>
      <c r="D18" s="3"/>
      <c r="F18" s="4"/>
      <c r="G18" s="4"/>
      <c r="H18" s="4"/>
      <c r="I18" s="4"/>
      <c r="J18" s="6"/>
      <c r="K18" s="8"/>
      <c r="L18" s="3"/>
      <c r="M18" s="4"/>
      <c r="O18" s="4"/>
    </row>
    <row r="19" spans="1:15" ht="19.5" customHeight="1" x14ac:dyDescent="0.25">
      <c r="A19" s="24" t="s">
        <v>116</v>
      </c>
      <c r="C19" s="7"/>
      <c r="D19" s="3"/>
      <c r="F19" s="4"/>
      <c r="G19" s="4"/>
      <c r="H19" s="4"/>
      <c r="I19" s="4"/>
      <c r="J19" s="6"/>
      <c r="K19" s="8"/>
      <c r="L19" s="3"/>
      <c r="M19" s="4"/>
      <c r="O19" s="4"/>
    </row>
    <row r="20" spans="1:15" ht="19.5" customHeight="1" x14ac:dyDescent="0.25">
      <c r="A20" t="s">
        <v>37</v>
      </c>
      <c r="E20" t="s">
        <v>36</v>
      </c>
      <c r="F20">
        <f>B3*80/24*5</f>
        <v>1666666.6666666665</v>
      </c>
      <c r="G20">
        <v>2000000</v>
      </c>
      <c r="H20" s="4"/>
      <c r="I20" s="4"/>
      <c r="J20" s="6"/>
      <c r="K20" s="8"/>
      <c r="L20" s="3"/>
      <c r="M20" s="4"/>
      <c r="O20" s="4"/>
    </row>
    <row r="21" spans="1:15" ht="19.5" customHeight="1" x14ac:dyDescent="0.25">
      <c r="A21" t="s">
        <v>15</v>
      </c>
      <c r="E21" t="s">
        <v>17</v>
      </c>
      <c r="G21" s="3">
        <f>F20*0.2/3/60</f>
        <v>1851.8518518518517</v>
      </c>
      <c r="H21" s="4"/>
      <c r="I21" s="4"/>
      <c r="J21" s="6"/>
      <c r="K21" s="8"/>
      <c r="L21" s="3"/>
      <c r="M21" s="4"/>
      <c r="O21" s="4"/>
    </row>
    <row r="23" spans="1:15" x14ac:dyDescent="0.25">
      <c r="A23" s="24" t="s">
        <v>41</v>
      </c>
    </row>
    <row r="24" spans="1:15" ht="45" x14ac:dyDescent="0.25">
      <c r="A24" s="10" t="s">
        <v>19</v>
      </c>
      <c r="B24" s="10" t="s">
        <v>35</v>
      </c>
    </row>
    <row r="25" spans="1:15" x14ac:dyDescent="0.25">
      <c r="A25" s="8" t="s">
        <v>27</v>
      </c>
      <c r="B25" s="3">
        <f>B3*0.95/16</f>
        <v>5937.5</v>
      </c>
    </row>
    <row r="26" spans="1:15" x14ac:dyDescent="0.25">
      <c r="A26" s="8" t="s">
        <v>28</v>
      </c>
      <c r="B26" s="3">
        <f>B3*0.15/16</f>
        <v>937.5</v>
      </c>
    </row>
    <row r="27" spans="1:15" x14ac:dyDescent="0.25">
      <c r="A27" s="8" t="s">
        <v>29</v>
      </c>
      <c r="B27" s="3">
        <f>B3*0.5/16</f>
        <v>3125</v>
      </c>
    </row>
    <row r="28" spans="1:15" x14ac:dyDescent="0.25">
      <c r="A28" s="8" t="s">
        <v>20</v>
      </c>
      <c r="B28" s="3">
        <f>B3*0.5/16</f>
        <v>3125</v>
      </c>
    </row>
    <row r="29" spans="1:15" x14ac:dyDescent="0.25">
      <c r="A29" s="8" t="s">
        <v>30</v>
      </c>
      <c r="B29" s="3">
        <f>B3*0.15/16</f>
        <v>937.5</v>
      </c>
    </row>
    <row r="30" spans="1:15" x14ac:dyDescent="0.25">
      <c r="A30" s="8" t="s">
        <v>31</v>
      </c>
      <c r="B30" s="3">
        <f>B3*0.5/16</f>
        <v>3125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2024-03-25T03:59:23Z</dcterms:modified>
</cp:coreProperties>
</file>