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O22" i="1"/>
  <c r="O21" i="1"/>
  <c r="J10" i="3" l="1"/>
  <c r="J8" i="3"/>
  <c r="J7" i="3"/>
  <c r="O24" i="1"/>
  <c r="O20" i="1"/>
  <c r="O19" i="1"/>
  <c r="O12" i="1"/>
  <c r="O11" i="1"/>
  <c r="O9" i="1"/>
  <c r="O8" i="1"/>
  <c r="O5" i="1"/>
  <c r="G12" i="3" l="1"/>
  <c r="G9" i="3"/>
  <c r="G6" i="3"/>
  <c r="H14" i="3"/>
  <c r="G14" i="3"/>
  <c r="H13" i="3"/>
  <c r="G13" i="3"/>
  <c r="H12" i="3"/>
  <c r="H11" i="3"/>
  <c r="G11" i="3"/>
  <c r="H10" i="3"/>
  <c r="G10" i="3"/>
  <c r="H9" i="3"/>
  <c r="H7" i="3"/>
  <c r="G7" i="3"/>
  <c r="H6" i="3"/>
  <c r="H5" i="3"/>
  <c r="G5" i="3"/>
  <c r="M14" i="1" l="1"/>
  <c r="M13" i="1"/>
  <c r="L14" i="1"/>
  <c r="L8" i="1"/>
  <c r="L11" i="1"/>
  <c r="L10" i="1"/>
  <c r="L7" i="1"/>
  <c r="L5" i="1"/>
  <c r="Q22" i="1" l="1"/>
  <c r="M22" i="1"/>
  <c r="L22" i="1"/>
  <c r="F22" i="1"/>
  <c r="N22" i="1" l="1"/>
  <c r="F20" i="3"/>
  <c r="G30" i="1"/>
  <c r="B35" i="1" s="1"/>
  <c r="Q21" i="1"/>
  <c r="Q20" i="1"/>
  <c r="Q19" i="1"/>
  <c r="B44" i="1"/>
  <c r="G31" i="1"/>
  <c r="B48" i="1"/>
  <c r="B46" i="1"/>
  <c r="B43" i="1"/>
  <c r="D18" i="1"/>
  <c r="D17" i="1"/>
  <c r="D16" i="1"/>
  <c r="D15" i="1"/>
  <c r="D6" i="1"/>
  <c r="Q6" i="1" s="1"/>
  <c r="D5" i="1"/>
  <c r="L24" i="1"/>
  <c r="N24" i="1" s="1"/>
  <c r="L23" i="1"/>
  <c r="L21" i="1"/>
  <c r="N21" i="1" s="1"/>
  <c r="L20" i="1"/>
  <c r="N20" i="1" s="1"/>
  <c r="L19" i="1"/>
  <c r="N19" i="1" s="1"/>
  <c r="L13" i="1"/>
  <c r="N13" i="1" s="1"/>
  <c r="M12" i="1"/>
  <c r="M11" i="1"/>
  <c r="M10" i="1"/>
  <c r="M7" i="1"/>
  <c r="M6" i="1"/>
  <c r="M5" i="1"/>
  <c r="L12" i="1"/>
  <c r="N12" i="1" s="1"/>
  <c r="N10" i="1"/>
  <c r="L6" i="1"/>
  <c r="N6" i="1" s="1"/>
  <c r="N5" i="1"/>
  <c r="N11" i="1" l="1"/>
  <c r="P22" i="1"/>
  <c r="R22" i="1" s="1"/>
  <c r="S22" i="1" s="1"/>
  <c r="B45" i="1"/>
  <c r="Q5" i="1"/>
  <c r="O10" i="1"/>
  <c r="O13" i="1"/>
  <c r="B36" i="1"/>
  <c r="N7" i="1"/>
  <c r="O7" i="1" s="1"/>
  <c r="O6" i="1"/>
  <c r="N23" i="1"/>
  <c r="Q23" i="1" l="1"/>
  <c r="Q24" i="1"/>
  <c r="D7" i="1"/>
  <c r="Q7" i="1" s="1"/>
  <c r="D8" i="1"/>
  <c r="Q8" i="1" s="1"/>
  <c r="D9" i="1"/>
  <c r="Q9" i="1" s="1"/>
  <c r="F23" i="1"/>
  <c r="B47" i="1" l="1"/>
  <c r="B39" i="1"/>
  <c r="B40" i="1" s="1"/>
  <c r="B38" i="1"/>
  <c r="B37" i="1"/>
  <c r="D14" i="1"/>
  <c r="Q14" i="1" s="1"/>
  <c r="C44" i="1"/>
  <c r="D44" i="1"/>
  <c r="D46" i="1"/>
  <c r="C46" i="1"/>
  <c r="D43" i="1"/>
  <c r="C43" i="1"/>
  <c r="D48" i="1"/>
  <c r="C48" i="1"/>
  <c r="D13" i="1"/>
  <c r="F13" i="1" s="1"/>
  <c r="F7" i="1"/>
  <c r="F6" i="1"/>
  <c r="D10" i="1"/>
  <c r="Q10" i="1" s="1"/>
  <c r="D11" i="1"/>
  <c r="Q11" i="1" s="1"/>
  <c r="B41" i="1" l="1"/>
  <c r="B42" i="1"/>
  <c r="F29" i="1"/>
  <c r="F27" i="1" s="1"/>
  <c r="C45" i="1"/>
  <c r="D45" i="1"/>
  <c r="Q13" i="1"/>
  <c r="P7" i="1"/>
  <c r="R7" i="1" s="1"/>
  <c r="S7" i="1" s="1"/>
  <c r="P6" i="1"/>
  <c r="R6" i="1" s="1"/>
  <c r="S6" i="1" s="1"/>
  <c r="D35" i="1" l="1"/>
  <c r="C35" i="1"/>
  <c r="F21" i="3" l="1"/>
  <c r="B30" i="3"/>
  <c r="B29" i="3"/>
  <c r="B28" i="3"/>
  <c r="B27" i="3"/>
  <c r="B26" i="3"/>
  <c r="B25" i="3"/>
  <c r="B13" i="3"/>
  <c r="B10" i="3"/>
  <c r="B7" i="3"/>
  <c r="D14" i="3"/>
  <c r="D12" i="3"/>
  <c r="D11" i="3"/>
  <c r="D9" i="3"/>
  <c r="D8" i="3"/>
  <c r="D6" i="3"/>
  <c r="D5" i="3"/>
  <c r="I14" i="3"/>
  <c r="I13" i="3"/>
  <c r="I12" i="3"/>
  <c r="I11" i="3"/>
  <c r="I10" i="3"/>
  <c r="I9" i="3"/>
  <c r="H8" i="3"/>
  <c r="I7" i="3"/>
  <c r="I5" i="3"/>
  <c r="K7" i="3" l="1"/>
  <c r="L7" i="3" s="1"/>
  <c r="M7" i="3" s="1"/>
  <c r="N7" i="3" s="1"/>
  <c r="K10" i="3"/>
  <c r="L10" i="3" s="1"/>
  <c r="M10" i="3" s="1"/>
  <c r="N10" i="3" s="1"/>
  <c r="K9" i="3"/>
  <c r="L9" i="3" s="1"/>
  <c r="M9" i="3" s="1"/>
  <c r="N9" i="3" s="1"/>
  <c r="K12" i="3"/>
  <c r="K11" i="3"/>
  <c r="L11" i="3" s="1"/>
  <c r="M11" i="3" s="1"/>
  <c r="N11" i="3" s="1"/>
  <c r="K13" i="3"/>
  <c r="L13" i="3" s="1"/>
  <c r="M13" i="3" s="1"/>
  <c r="N13" i="3" s="1"/>
  <c r="J11" i="3"/>
  <c r="J12" i="3"/>
  <c r="J13" i="3"/>
  <c r="J14" i="3"/>
  <c r="J9" i="3"/>
  <c r="I6" i="3"/>
  <c r="J5" i="3"/>
  <c r="G8" i="3"/>
  <c r="I8" i="3" s="1"/>
  <c r="K14" i="3" l="1"/>
  <c r="L14" i="3" s="1"/>
  <c r="M14" i="3" s="1"/>
  <c r="N14" i="3" s="1"/>
  <c r="D37" i="1"/>
  <c r="C37" i="1"/>
  <c r="D39" i="1"/>
  <c r="C39" i="1"/>
  <c r="D38" i="1"/>
  <c r="C38" i="1"/>
  <c r="D42" i="1"/>
  <c r="C42" i="1"/>
  <c r="D47" i="1"/>
  <c r="C47" i="1"/>
  <c r="L12" i="3"/>
  <c r="M12" i="3" s="1"/>
  <c r="N12" i="3" s="1"/>
  <c r="K6" i="3"/>
  <c r="L6" i="3" s="1"/>
  <c r="M6" i="3" s="1"/>
  <c r="N6" i="3" s="1"/>
  <c r="K8" i="3"/>
  <c r="K5" i="3"/>
  <c r="L5" i="3" s="1"/>
  <c r="M5" i="3" s="1"/>
  <c r="N5" i="3" s="1"/>
  <c r="J6" i="3"/>
  <c r="F11" i="1"/>
  <c r="C40" i="1" l="1"/>
  <c r="D40" i="1"/>
  <c r="L8" i="3"/>
  <c r="M8" i="3" s="1"/>
  <c r="N8" i="3" s="1"/>
  <c r="J17" i="3"/>
  <c r="F10" i="1"/>
  <c r="D41" i="1" l="1"/>
  <c r="C41" i="1"/>
  <c r="C36" i="1"/>
  <c r="D36" i="1"/>
  <c r="P11" i="1"/>
  <c r="R11" i="1" s="1"/>
  <c r="S11" i="1" s="1"/>
  <c r="L9" i="1"/>
  <c r="N9" i="1" s="1"/>
  <c r="F9" i="1"/>
  <c r="F24" i="1"/>
  <c r="F21" i="1"/>
  <c r="F20" i="1"/>
  <c r="F19" i="1"/>
  <c r="M8" i="1"/>
  <c r="F8" i="1"/>
  <c r="F5" i="1"/>
  <c r="N14" i="1" l="1"/>
  <c r="M20" i="1"/>
  <c r="M19" i="1"/>
  <c r="P12" i="1"/>
  <c r="R12" i="1" s="1"/>
  <c r="S12" i="1" s="1"/>
  <c r="P10" i="1"/>
  <c r="R10" i="1" s="1"/>
  <c r="S10" i="1" s="1"/>
  <c r="F14" i="1"/>
  <c r="O14" i="1"/>
  <c r="M24" i="1"/>
  <c r="M9" i="1"/>
  <c r="M21" i="1"/>
  <c r="M23" i="1"/>
  <c r="N8" i="1" l="1"/>
  <c r="P9" i="1"/>
  <c r="R9" i="1" s="1"/>
  <c r="S9" i="1" s="1"/>
  <c r="P14" i="1"/>
  <c r="R14" i="1" s="1"/>
  <c r="S14" i="1" s="1"/>
  <c r="P23" i="1"/>
  <c r="R23" i="1" s="1"/>
  <c r="S23" i="1" s="1"/>
  <c r="P21" i="1"/>
  <c r="R21" i="1" s="1"/>
  <c r="S21" i="1" s="1"/>
  <c r="P5" i="1" l="1"/>
  <c r="R5" i="1" s="1"/>
  <c r="S5" i="1" s="1"/>
  <c r="P13" i="1"/>
  <c r="R13" i="1" s="1"/>
  <c r="S13" i="1" s="1"/>
  <c r="P24" i="1"/>
  <c r="R24" i="1" s="1"/>
  <c r="S24" i="1" s="1"/>
  <c r="P19" i="1"/>
  <c r="R19" i="1" s="1"/>
  <c r="S19" i="1" s="1"/>
  <c r="P8" i="1"/>
  <c r="R8" i="1" s="1"/>
  <c r="S8" i="1" s="1"/>
  <c r="P20" i="1"/>
  <c r="R20" i="1" s="1"/>
  <c r="S20" i="1" s="1"/>
  <c r="O28" i="1"/>
</calcChain>
</file>

<file path=xl/sharedStrings.xml><?xml version="1.0" encoding="utf-8"?>
<sst xmlns="http://schemas.openxmlformats.org/spreadsheetml/2006/main" count="153" uniqueCount="119">
  <si>
    <t>Capacity TPD</t>
  </si>
  <si>
    <t>VE-01</t>
  </si>
  <si>
    <t>Vessel Volume Cu M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</si>
  <si>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</si>
  <si>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</si>
  <si>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</si>
  <si>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</si>
  <si>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</si>
  <si>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</si>
  <si>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</si>
  <si>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</si>
  <si>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</si>
  <si>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</si>
  <si>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</si>
  <si>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</si>
  <si>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</si>
  <si>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</si>
  <si>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</si>
  <si>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</si>
  <si>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</si>
  <si>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</si>
  <si>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</si>
  <si>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</si>
  <si>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</si>
  <si>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</si>
  <si>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</si>
  <si>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</si>
  <si>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</si>
  <si>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</si>
  <si>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</si>
  <si>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</si>
  <si>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</si>
  <si>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</si>
  <si>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</si>
  <si>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</si>
  <si>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</si>
  <si>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</si>
  <si>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</si>
  <si>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</si>
  <si>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</si>
  <si>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</si>
  <si>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</si>
  <si>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Pumps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</si>
  <si>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</si>
  <si>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</si>
  <si>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</si>
  <si>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</si>
  <si>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</si>
  <si>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</si>
  <si>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</si>
  <si>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</si>
  <si>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</si>
  <si>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</si>
  <si>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</si>
  <si>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</si>
  <si>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AC-03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</si>
  <si>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</si>
  <si>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</si>
  <si>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</si>
  <si>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</si>
  <si>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</si>
  <si>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</si>
  <si>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</si>
  <si>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</si>
  <si>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</si>
  <si>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</si>
  <si>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</si>
  <si>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</si>
  <si>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</si>
  <si>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</si>
  <si>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</si>
  <si>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</si>
  <si>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</si>
  <si>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</si>
  <si>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BioDiesel Reactor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</si>
  <si>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</si>
  <si>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</si>
  <si>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</si>
  <si>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</si>
  <si>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</si>
  <si>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</si>
  <si>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</si>
  <si>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Biod  Purification</t>
  </si>
  <si>
    <t>Mat</t>
  </si>
  <si>
    <t>CS</t>
  </si>
  <si>
    <t>SS304</t>
  </si>
  <si>
    <t>LDO Lit/day</t>
  </si>
  <si>
    <t>Batch</t>
  </si>
  <si>
    <t>Pump Capacity LPM</t>
  </si>
  <si>
    <t>SS316L</t>
  </si>
  <si>
    <t>MC-13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</si>
  <si>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</si>
  <si>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</si>
  <si>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</si>
  <si>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</si>
  <si>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</si>
  <si>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</si>
  <si>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BC-05/BC-09/GC-16/BC-19</t>
  </si>
  <si>
    <t>Glycerine Feed Tank</t>
  </si>
  <si>
    <t>GF-02</t>
  </si>
  <si>
    <t>Pretreatment Tank</t>
  </si>
  <si>
    <t>OR</t>
  </si>
  <si>
    <t>Lakh KCal/Hr</t>
  </si>
  <si>
    <t>Hot Water Boiler</t>
  </si>
  <si>
    <t>Distillation Towers - 3 Nos.</t>
  </si>
  <si>
    <t>Dry Wash Columns - 2 Nos.</t>
  </si>
  <si>
    <t>Recycle Condensers - 4 Nos.</t>
  </si>
  <si>
    <t>Acid Columns - 2 Nos.</t>
  </si>
  <si>
    <t>Shell / Jacket Weight</t>
  </si>
  <si>
    <t>Settling Tanks - 3 Nos.</t>
  </si>
  <si>
    <t>Met Gly Purification - 2 Nos.</t>
  </si>
  <si>
    <t>Rec Vessel Coolers - 2 Nos.</t>
  </si>
  <si>
    <t>Rec Vessel Coolers</t>
  </si>
  <si>
    <t>Equipment No.</t>
  </si>
  <si>
    <t>Main Plant</t>
  </si>
  <si>
    <t>Nozzles / Legs  Weight</t>
  </si>
  <si>
    <t>Utilities</t>
  </si>
  <si>
    <t>Nozzles / Legs Weight</t>
  </si>
  <si>
    <t>C-05/11/16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</si>
</sst>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wrapText="1"/>
    </xf>
    <xf numFmtId="166" fontId="0" fillId="0" borderId="0" xfId="0" applyNumberFormat="1"/>
    <xf numFmtId="166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31" ht="60" x14ac:dyDescent="0.25">
      <c r="B1" s="29"/>
      <c r="D1" s="29" t="s">
        <v>95</v>
      </c>
      <c r="E1" s="29" t="s">
        <v>19</v>
      </c>
      <c r="F1" s="29" t="s">
        <v>96</v>
      </c>
      <c r="T1" s="30"/>
      <c r="U1" s="30"/>
      <c r="V1" s="30"/>
      <c r="W1" s="30"/>
      <c r="X1" s="30"/>
      <c r="Y1" s="30"/>
      <c r="Z1" s="30"/>
      <c r="AA1" s="30"/>
    </row>
    <row r="2" spans="1:31" x14ac:dyDescent="0.25">
      <c r="A2" s="2" t="s">
        <v>0</v>
      </c>
      <c r="B2" s="1"/>
      <c r="D2">
        <v>500</v>
      </c>
      <c r="E2">
        <v>200</v>
      </c>
      <c r="F2">
        <v>100</v>
      </c>
      <c r="T2" s="30"/>
      <c r="U2" s="30"/>
      <c r="V2" s="30"/>
      <c r="W2" s="30"/>
      <c r="X2" s="30"/>
      <c r="Y2" s="30"/>
      <c r="Z2" s="30"/>
      <c r="AA2" s="30"/>
    </row>
    <row r="3" spans="1:31" x14ac:dyDescent="0.25">
      <c r="A3">
        <v>10</v>
      </c>
      <c r="B3" s="32" t="s">
        <v>114</v>
      </c>
      <c r="C3" t="s">
        <v>87</v>
      </c>
      <c r="T3" s="31"/>
      <c r="U3" s="31"/>
      <c r="V3" s="31"/>
      <c r="W3" s="31"/>
    </row>
    <row r="4" spans="1:31" ht="45" x14ac:dyDescent="0.25">
      <c r="A4" s="6" t="s">
        <v>113</v>
      </c>
      <c r="B4" s="6"/>
      <c r="C4" s="6"/>
      <c r="D4" s="6" t="s">
        <v>2</v>
      </c>
      <c r="E4" s="6" t="s">
        <v>4</v>
      </c>
      <c r="F4" s="6" t="s">
        <v>5</v>
      </c>
      <c r="G4" s="6" t="s">
        <v>6</v>
      </c>
      <c r="H4" s="37" t="s">
        <v>10</v>
      </c>
      <c r="I4" s="38"/>
      <c r="J4" s="24" t="s">
        <v>83</v>
      </c>
      <c r="L4" s="9" t="s">
        <v>108</v>
      </c>
      <c r="M4" s="9" t="s">
        <v>12</v>
      </c>
      <c r="N4" s="9" t="s">
        <v>115</v>
      </c>
      <c r="O4" s="7" t="s">
        <v>11</v>
      </c>
      <c r="P4" s="22" t="s">
        <v>43</v>
      </c>
      <c r="Q4" s="22" t="s">
        <v>45</v>
      </c>
      <c r="R4" s="22" t="s">
        <v>44</v>
      </c>
      <c r="S4" s="22" t="s">
        <v>46</v>
      </c>
      <c r="X4" s="19"/>
      <c r="Y4" s="19"/>
      <c r="Z4" s="15"/>
      <c r="AB4" s="16"/>
      <c r="AC4" s="16"/>
      <c r="AD4" s="16"/>
      <c r="AE4" s="16"/>
    </row>
    <row r="5" spans="1:31" x14ac:dyDescent="0.25">
      <c r="A5" s="3" t="s">
        <v>50</v>
      </c>
      <c r="B5" t="s">
        <v>100</v>
      </c>
      <c r="D5" s="5">
        <f>A3*0.65</f>
        <v>6.5</v>
      </c>
      <c r="E5">
        <v>2400</v>
      </c>
      <c r="F5" s="4">
        <f>SQRT(D5*4*1000/E5/3.14159)*1000</f>
        <v>1856.9760399718398</v>
      </c>
      <c r="G5">
        <v>1850</v>
      </c>
      <c r="H5" s="4">
        <v>10</v>
      </c>
      <c r="I5" s="4"/>
      <c r="J5" t="s">
        <v>84</v>
      </c>
      <c r="L5" s="5">
        <f>3.14159*G5*E5*H5*1.5*7.85/1000000</f>
        <v>1642.4546678999998</v>
      </c>
      <c r="M5" s="5">
        <f>G5*G5*1.22*1.22*H5*7.85*2/1000000</f>
        <v>799.76569300000006</v>
      </c>
      <c r="N5" s="5">
        <f t="shared" ref="N5:N14" si="0">(K5+L5)*0.2</f>
        <v>328.49093357999999</v>
      </c>
      <c r="O5" s="8">
        <f>(L5+M5+N5)*E2*1.4</f>
        <v>775799.16245439998</v>
      </c>
      <c r="P5" s="5">
        <f t="shared" ref="P5" si="1">L5+M5+N5</f>
        <v>2770.7112944799997</v>
      </c>
      <c r="Q5">
        <f>D5*1500</f>
        <v>9750</v>
      </c>
      <c r="R5" s="23">
        <f t="shared" ref="R5" si="2">P5+Q5</f>
        <v>12520.711294479999</v>
      </c>
      <c r="S5" s="23">
        <f>R5</f>
        <v>12520.711294479999</v>
      </c>
      <c r="X5" s="39"/>
      <c r="Y5" s="39"/>
      <c r="Z5" s="18"/>
      <c r="AB5" s="18"/>
      <c r="AC5" s="18"/>
      <c r="AD5" s="18"/>
      <c r="AE5" s="18"/>
    </row>
    <row r="6" spans="1:31" x14ac:dyDescent="0.25">
      <c r="A6" s="3" t="s">
        <v>99</v>
      </c>
      <c r="B6" t="s">
        <v>98</v>
      </c>
      <c r="C6" s="18"/>
      <c r="D6" s="20">
        <f>A3*0.2</f>
        <v>2</v>
      </c>
      <c r="E6" s="20">
        <v>1200</v>
      </c>
      <c r="F6" s="21">
        <f>SQRT(D6*4*1000/E6/3.14159)*1000</f>
        <v>1456.7318560139486</v>
      </c>
      <c r="G6" s="20">
        <v>1500</v>
      </c>
      <c r="H6" s="21">
        <v>6</v>
      </c>
      <c r="I6" s="23"/>
      <c r="J6" t="s">
        <v>84</v>
      </c>
      <c r="L6" s="5">
        <f>3.14159*G6*E6*H6*7.85/1000000</f>
        <v>266.34400019999998</v>
      </c>
      <c r="M6" s="5">
        <f>G6*G6*1.22*1.22*H6*7.85*2/1000000</f>
        <v>315.46638000000002</v>
      </c>
      <c r="N6" s="5">
        <f t="shared" si="0"/>
        <v>53.268800040000002</v>
      </c>
      <c r="O6" s="8">
        <f>(L6+M6+N6)*E2</f>
        <v>127015.83604800001</v>
      </c>
      <c r="P6" s="5">
        <f t="shared" ref="P6:P14" si="3">L6+M6+N6</f>
        <v>635.07918024000003</v>
      </c>
      <c r="Q6">
        <f>D6*1500</f>
        <v>3000</v>
      </c>
      <c r="R6" s="23">
        <f t="shared" ref="R6:R14" si="4">P6+Q6</f>
        <v>3635.0791802399999</v>
      </c>
      <c r="S6" s="23">
        <f t="shared" ref="S6:S14" si="5">R6</f>
        <v>3635.0791802399999</v>
      </c>
      <c r="X6" s="5"/>
      <c r="Y6" s="4"/>
      <c r="Z6" s="5"/>
      <c r="AB6" s="5"/>
      <c r="AD6" s="5"/>
    </row>
    <row r="7" spans="1:31" x14ac:dyDescent="0.25">
      <c r="A7" s="3" t="s">
        <v>49</v>
      </c>
      <c r="B7" t="s">
        <v>80</v>
      </c>
      <c r="C7" s="18"/>
      <c r="D7" s="20">
        <f>A3*0.6</f>
        <v>6</v>
      </c>
      <c r="E7" s="20">
        <v>1800</v>
      </c>
      <c r="F7" s="21">
        <f>SQRT(D7*4*1000/E7/3.14159)*1000</f>
        <v>2060.1299475158567</v>
      </c>
      <c r="G7" s="20">
        <v>2100</v>
      </c>
      <c r="H7" s="21">
        <v>6</v>
      </c>
      <c r="I7" s="23"/>
      <c r="J7" t="s">
        <v>84</v>
      </c>
      <c r="L7" s="5">
        <f>3.14159*G7*E7*H7*7.85*1.5/1000000</f>
        <v>838.98360062999973</v>
      </c>
      <c r="M7" s="5">
        <f>G7*G7*1.22*1.22*H7*7.85*2/1000000</f>
        <v>618.3141048</v>
      </c>
      <c r="N7" s="5">
        <f t="shared" si="0"/>
        <v>167.79672012599997</v>
      </c>
      <c r="O7" s="8">
        <f>(L7+M7+N7)*E2</f>
        <v>325018.88511119998</v>
      </c>
      <c r="P7" s="5">
        <f t="shared" si="3"/>
        <v>1625.0944255559998</v>
      </c>
      <c r="Q7">
        <f>D7*900</f>
        <v>5400</v>
      </c>
      <c r="R7" s="23">
        <f t="shared" si="4"/>
        <v>7025.0944255559998</v>
      </c>
      <c r="S7" s="23">
        <f t="shared" si="5"/>
        <v>7025.0944255559998</v>
      </c>
      <c r="X7" s="5"/>
      <c r="Y7" s="4"/>
      <c r="Z7" s="5"/>
      <c r="AB7" s="5"/>
      <c r="AD7" s="5"/>
    </row>
    <row r="8" spans="1:31" x14ac:dyDescent="0.25">
      <c r="A8" t="s">
        <v>53</v>
      </c>
      <c r="B8" t="s">
        <v>74</v>
      </c>
      <c r="D8">
        <f>A3*0.65</f>
        <v>6.5</v>
      </c>
      <c r="E8">
        <v>2400</v>
      </c>
      <c r="F8" s="4">
        <f t="shared" ref="F8" si="6">SQRT(D8*4*1000/E8/3.14159)*1000</f>
        <v>1856.9760399718398</v>
      </c>
      <c r="G8">
        <v>1850</v>
      </c>
      <c r="H8" s="4">
        <v>8</v>
      </c>
      <c r="I8" s="4"/>
      <c r="J8" t="s">
        <v>85</v>
      </c>
      <c r="L8" s="5">
        <f>3.14159*G8*E8*H8*8.15/1000000+3.14159*G8*E8*H8*7.85/2000000</f>
        <v>1347.4405173600001</v>
      </c>
      <c r="M8" s="5">
        <f t="shared" ref="M8" si="7">G8*G8*1.22*1.22*H8*8.15*2/1000000</f>
        <v>664.26398960000006</v>
      </c>
      <c r="N8" s="5">
        <f t="shared" si="0"/>
        <v>269.48810347200003</v>
      </c>
      <c r="O8" s="8">
        <f>(L8+M8+N8)*D2*1.2</f>
        <v>1368715.5662592</v>
      </c>
      <c r="P8" s="5">
        <f t="shared" si="3"/>
        <v>2281.192610432</v>
      </c>
      <c r="Q8">
        <f>D8*1200</f>
        <v>7800</v>
      </c>
      <c r="R8" s="23">
        <f t="shared" si="4"/>
        <v>10081.192610432001</v>
      </c>
      <c r="S8" s="23">
        <f t="shared" si="5"/>
        <v>10081.192610432001</v>
      </c>
      <c r="X8" s="5"/>
      <c r="Y8" s="4"/>
      <c r="Z8" s="5"/>
      <c r="AB8" s="5"/>
      <c r="AD8" s="5"/>
    </row>
    <row r="9" spans="1:31" x14ac:dyDescent="0.25">
      <c r="A9" t="s">
        <v>51</v>
      </c>
      <c r="B9" t="s">
        <v>109</v>
      </c>
      <c r="D9">
        <f>A3*0.65</f>
        <v>6.5</v>
      </c>
      <c r="E9">
        <v>2400</v>
      </c>
      <c r="F9" s="4">
        <f t="shared" ref="F9" si="8">SQRT(D9*4*1000/E9/3.14159)*1000</f>
        <v>1856.9760399718398</v>
      </c>
      <c r="G9">
        <v>1850</v>
      </c>
      <c r="H9" s="4">
        <v>8</v>
      </c>
      <c r="I9" s="4"/>
      <c r="J9" t="s">
        <v>84</v>
      </c>
      <c r="L9" s="5">
        <f>3.14159*G9*E9*H9*7.85/1000000</f>
        <v>875.97582288000001</v>
      </c>
      <c r="M9" s="5">
        <f>G9*G9*1.22*1.22*H9*7.85*2/1000000</f>
        <v>639.81255439999995</v>
      </c>
      <c r="N9" s="5">
        <f t="shared" si="0"/>
        <v>175.19516457600002</v>
      </c>
      <c r="O9" s="8">
        <f>(L9+M9+N9)*E2*3*1.25</f>
        <v>1268237.6563920001</v>
      </c>
      <c r="P9" s="5">
        <f t="shared" si="3"/>
        <v>1690.9835418560001</v>
      </c>
      <c r="Q9">
        <f>D9*1200</f>
        <v>7800</v>
      </c>
      <c r="R9" s="23">
        <f t="shared" si="4"/>
        <v>9490.9835418559996</v>
      </c>
      <c r="S9" s="23">
        <f t="shared" si="5"/>
        <v>9490.9835418559996</v>
      </c>
      <c r="X9" s="36"/>
      <c r="Y9" s="36"/>
      <c r="Z9" s="5"/>
      <c r="AB9" s="5"/>
      <c r="AD9" s="5"/>
    </row>
    <row r="10" spans="1:31" x14ac:dyDescent="0.25">
      <c r="A10" t="s">
        <v>54</v>
      </c>
      <c r="B10" t="s">
        <v>110</v>
      </c>
      <c r="D10">
        <f>D8*0.15</f>
        <v>0.97499999999999998</v>
      </c>
      <c r="E10" s="25">
        <v>2000</v>
      </c>
      <c r="F10" s="4">
        <f>SQRT(D10*4*1000/E10/3.14159)*1000</f>
        <v>787.84821021901757</v>
      </c>
      <c r="G10">
        <v>800</v>
      </c>
      <c r="H10" s="4">
        <v>5</v>
      </c>
      <c r="I10" s="4"/>
      <c r="J10" t="s">
        <v>84</v>
      </c>
      <c r="L10" s="5">
        <f>3.14159*G10*E10*H10*7.85*2/1000000</f>
        <v>394.58370400000001</v>
      </c>
      <c r="M10" s="5">
        <f>G10*G10*1.22*1.22*H10*7.85*2/1000000</f>
        <v>74.777215999999996</v>
      </c>
      <c r="N10" s="5">
        <f t="shared" si="0"/>
        <v>78.916740800000014</v>
      </c>
      <c r="O10" s="8">
        <f>(L10+M10+N10)*E2*2</f>
        <v>219311.06432</v>
      </c>
      <c r="P10" s="5">
        <f t="shared" si="3"/>
        <v>548.27766080000004</v>
      </c>
      <c r="Q10">
        <f>D10*1000</f>
        <v>975</v>
      </c>
      <c r="R10" s="23">
        <f t="shared" si="4"/>
        <v>1523.2776607999999</v>
      </c>
      <c r="S10" s="23">
        <f t="shared" si="5"/>
        <v>1523.2776607999999</v>
      </c>
      <c r="X10" s="5"/>
      <c r="Y10" s="4"/>
      <c r="Z10" s="5"/>
      <c r="AB10" s="5"/>
      <c r="AD10" s="5"/>
    </row>
    <row r="11" spans="1:31" x14ac:dyDescent="0.25">
      <c r="A11" t="s">
        <v>52</v>
      </c>
      <c r="B11" t="s">
        <v>82</v>
      </c>
      <c r="D11">
        <f>D8*0.8</f>
        <v>5.2</v>
      </c>
      <c r="E11" s="25">
        <v>2500</v>
      </c>
      <c r="F11" s="4">
        <f>SQRT(D11*4*1000/E11/3.14159)*1000</f>
        <v>1627.3722653427064</v>
      </c>
      <c r="G11">
        <v>1700</v>
      </c>
      <c r="H11" s="4">
        <v>5</v>
      </c>
      <c r="I11" s="4"/>
      <c r="J11" t="s">
        <v>84</v>
      </c>
      <c r="L11" s="5">
        <f>3.14159*G11*E11*H11*7.85*2/1000000</f>
        <v>1048.1129637499998</v>
      </c>
      <c r="M11" s="5">
        <f>G11*G11*1.22*1.22*H11*7.85*2/1000000</f>
        <v>337.66586599999999</v>
      </c>
      <c r="N11" s="5">
        <f t="shared" si="0"/>
        <v>209.62259274999997</v>
      </c>
      <c r="O11" s="8">
        <f>(L11+M11+N11)*E2*1.4</f>
        <v>446712.39829999988</v>
      </c>
      <c r="P11" s="5">
        <f t="shared" si="3"/>
        <v>1595.4014224999999</v>
      </c>
      <c r="Q11">
        <f>D11*1200</f>
        <v>6240</v>
      </c>
      <c r="R11" s="23">
        <f t="shared" si="4"/>
        <v>7835.4014225000001</v>
      </c>
      <c r="S11" s="23">
        <f t="shared" si="5"/>
        <v>7835.4014225000001</v>
      </c>
      <c r="X11" s="5"/>
      <c r="Y11" s="4"/>
      <c r="Z11" s="5"/>
      <c r="AB11" s="5"/>
      <c r="AD11" s="5"/>
    </row>
    <row r="12" spans="1:31" x14ac:dyDescent="0.25">
      <c r="A12" t="s">
        <v>92</v>
      </c>
      <c r="B12" t="s">
        <v>104</v>
      </c>
      <c r="E12" s="25">
        <v>3000</v>
      </c>
      <c r="F12" s="4">
        <v>300</v>
      </c>
      <c r="G12">
        <v>300</v>
      </c>
      <c r="H12" s="4">
        <v>3</v>
      </c>
      <c r="I12" s="4"/>
      <c r="J12" t="s">
        <v>84</v>
      </c>
      <c r="L12" s="5">
        <f>3.14159*G12*E12*H12*7.85/1000000</f>
        <v>66.586000049999996</v>
      </c>
      <c r="M12" s="5">
        <f>G12*G12*1.22*1.22*H12*7.85*2/1000000</f>
        <v>6.3093275999999996</v>
      </c>
      <c r="N12" s="5">
        <f t="shared" si="0"/>
        <v>13.317200010000001</v>
      </c>
      <c r="O12" s="8">
        <f>(L12+M12+N12)*E2*3*5</f>
        <v>258637.58298000004</v>
      </c>
      <c r="P12" s="5">
        <f t="shared" si="3"/>
        <v>86.212527660000006</v>
      </c>
      <c r="Q12">
        <v>100</v>
      </c>
      <c r="R12" s="23">
        <f t="shared" si="4"/>
        <v>186.21252766000001</v>
      </c>
      <c r="S12" s="23">
        <f t="shared" si="5"/>
        <v>186.21252766000001</v>
      </c>
      <c r="X12" s="5"/>
      <c r="Y12" s="4"/>
      <c r="Z12" s="5"/>
      <c r="AB12" s="5"/>
      <c r="AD12" s="5"/>
    </row>
    <row r="13" spans="1:31" x14ac:dyDescent="0.25">
      <c r="A13" t="s">
        <v>55</v>
      </c>
      <c r="B13" t="s">
        <v>107</v>
      </c>
      <c r="D13">
        <f>D5*0.01</f>
        <v>6.5000000000000002E-2</v>
      </c>
      <c r="E13">
        <v>2400</v>
      </c>
      <c r="F13" s="4">
        <f>SQRT(D13*4*1000/E13/3.14159)*1000</f>
        <v>185.69760399718396</v>
      </c>
      <c r="G13">
        <v>300</v>
      </c>
      <c r="H13" s="4">
        <v>3</v>
      </c>
      <c r="I13" s="4"/>
      <c r="J13" t="s">
        <v>89</v>
      </c>
      <c r="L13" s="5">
        <f>3.14159*G13*E13*H13*8.15/1000000</f>
        <v>55.30455036</v>
      </c>
      <c r="M13" s="5">
        <f>G13*G13*1.05*1.05*H13*8.15*2/2000000</f>
        <v>2.42605125</v>
      </c>
      <c r="N13" s="5">
        <f t="shared" si="0"/>
        <v>11.060910072</v>
      </c>
      <c r="O13" s="8">
        <f>(L13+M13+N13)*D2*2</f>
        <v>68791.511682000011</v>
      </c>
      <c r="P13" s="5">
        <f t="shared" si="3"/>
        <v>68.791511682000007</v>
      </c>
      <c r="Q13">
        <f t="shared" ref="Q13:Q14" si="9">D13*800</f>
        <v>52</v>
      </c>
      <c r="R13" s="23">
        <f t="shared" si="4"/>
        <v>120.79151168200001</v>
      </c>
      <c r="S13" s="23">
        <f t="shared" si="5"/>
        <v>120.79151168200001</v>
      </c>
      <c r="X13" s="36"/>
      <c r="Y13" s="36"/>
      <c r="Z13" s="5"/>
      <c r="AB13" s="5"/>
      <c r="AD13" s="5"/>
    </row>
    <row r="14" spans="1:31" x14ac:dyDescent="0.25">
      <c r="A14" t="s">
        <v>56</v>
      </c>
      <c r="B14" t="s">
        <v>105</v>
      </c>
      <c r="D14">
        <f>D8*0.02</f>
        <v>0.13</v>
      </c>
      <c r="E14">
        <v>2400</v>
      </c>
      <c r="F14" s="4">
        <f>SQRT(D14*4*1000/E14/3.14159)*1000</f>
        <v>262.61607007300586</v>
      </c>
      <c r="G14">
        <v>300</v>
      </c>
      <c r="H14" s="4">
        <v>3</v>
      </c>
      <c r="I14" s="4"/>
      <c r="J14" t="s">
        <v>84</v>
      </c>
      <c r="L14" s="5">
        <f>3.14159*G14*E14*H14*7.85/1000000</f>
        <v>53.268800039999995</v>
      </c>
      <c r="M14" s="5">
        <f>G14*G14*1.05*1.05*H14*7.85*2/2000000</f>
        <v>2.3367487499999999</v>
      </c>
      <c r="N14" s="5">
        <f t="shared" si="0"/>
        <v>10.653760007999999</v>
      </c>
      <c r="O14" s="8">
        <f>(L14+M14+N14)*E2*2</f>
        <v>26503.723519199997</v>
      </c>
      <c r="P14" s="5">
        <f t="shared" si="3"/>
        <v>66.259308797999992</v>
      </c>
      <c r="Q14">
        <f t="shared" si="9"/>
        <v>104</v>
      </c>
      <c r="R14" s="23">
        <f t="shared" si="4"/>
        <v>170.25930879800001</v>
      </c>
      <c r="S14" s="23">
        <f t="shared" si="5"/>
        <v>170.25930879800001</v>
      </c>
      <c r="X14" s="5"/>
      <c r="Y14" s="4"/>
      <c r="Z14" s="5"/>
      <c r="AB14" s="5"/>
      <c r="AD14" s="5"/>
    </row>
    <row r="15" spans="1:31" x14ac:dyDescent="0.25">
      <c r="A15" t="s">
        <v>97</v>
      </c>
      <c r="B15" t="s">
        <v>106</v>
      </c>
      <c r="D15" s="27">
        <f>3.14159*0.019*E15*14/1000</f>
        <v>1.5041932919999998</v>
      </c>
      <c r="E15">
        <v>1800</v>
      </c>
      <c r="J15" t="s">
        <v>84</v>
      </c>
      <c r="O15" s="8">
        <v>300000</v>
      </c>
      <c r="X15" s="5"/>
      <c r="Y15" s="4"/>
      <c r="Z15" s="5"/>
      <c r="AB15" s="5"/>
      <c r="AD15" s="5"/>
    </row>
    <row r="16" spans="1:31" x14ac:dyDescent="0.25">
      <c r="A16" t="s">
        <v>90</v>
      </c>
      <c r="B16" t="s">
        <v>91</v>
      </c>
      <c r="D16" s="28">
        <f>3.14159*0.019*E16*14/1000</f>
        <v>2.0055910559999997</v>
      </c>
      <c r="E16">
        <v>2400</v>
      </c>
      <c r="J16" t="s">
        <v>84</v>
      </c>
      <c r="O16" s="8">
        <v>150000</v>
      </c>
      <c r="X16" s="5"/>
      <c r="Z16" s="5"/>
      <c r="AB16" s="5"/>
      <c r="AD16" s="5"/>
    </row>
    <row r="17" spans="1:30" x14ac:dyDescent="0.25">
      <c r="A17" t="s">
        <v>93</v>
      </c>
      <c r="B17" t="s">
        <v>111</v>
      </c>
      <c r="D17" s="28">
        <f>3.14159*0.019*E17*10/1000</f>
        <v>1.1938041999999998</v>
      </c>
      <c r="E17">
        <v>2000</v>
      </c>
      <c r="J17" t="s">
        <v>84</v>
      </c>
      <c r="O17" s="8">
        <v>100000</v>
      </c>
      <c r="X17" s="36"/>
      <c r="Y17" s="36"/>
      <c r="Z17" s="5"/>
      <c r="AB17" s="5"/>
      <c r="AD17" s="5"/>
    </row>
    <row r="18" spans="1:30" x14ac:dyDescent="0.25">
      <c r="A18" t="s">
        <v>94</v>
      </c>
      <c r="B18" t="s">
        <v>112</v>
      </c>
      <c r="D18" s="28">
        <f>3.14159*0.019*E18*10/1000</f>
        <v>1.4922552499999997</v>
      </c>
      <c r="E18">
        <v>2500</v>
      </c>
      <c r="J18" t="s">
        <v>84</v>
      </c>
      <c r="O18" s="8">
        <v>100000</v>
      </c>
      <c r="X18" s="5"/>
      <c r="Y18" s="4"/>
      <c r="Z18" s="5"/>
      <c r="AB18" s="5"/>
      <c r="AD18" s="5"/>
    </row>
    <row r="19" spans="1:30" x14ac:dyDescent="0.25">
      <c r="A19" t="s">
        <v>60</v>
      </c>
      <c r="B19" t="s">
        <v>75</v>
      </c>
      <c r="D19">
        <v>100</v>
      </c>
      <c r="E19">
        <v>5000</v>
      </c>
      <c r="F19" s="4">
        <f>SQRT(D19*4*1000/E19/3.14159)*1000</f>
        <v>5046.2671752405386</v>
      </c>
      <c r="G19">
        <v>5000</v>
      </c>
      <c r="H19" s="4">
        <v>8</v>
      </c>
      <c r="I19" s="4">
        <v>6</v>
      </c>
      <c r="J19" t="s">
        <v>84</v>
      </c>
      <c r="K19" s="5"/>
      <c r="L19" s="5">
        <f t="shared" ref="L19:L24" si="10">3.14159*G19*E19*(H19+I19)*7.85/2000000</f>
        <v>4315.7592624999997</v>
      </c>
      <c r="M19" s="5">
        <f>G19*G19*1.05*1.05*(K19+H19)*7.85*2/2000000</f>
        <v>1730.925</v>
      </c>
      <c r="N19" s="5">
        <f t="shared" ref="N19:N24" si="11">(K19+L19)*0.2</f>
        <v>863.15185250000002</v>
      </c>
      <c r="O19" s="8">
        <f>(L19+M19+N19)*F2*2</f>
        <v>1381967.223</v>
      </c>
      <c r="P19" s="5">
        <f t="shared" ref="P19:P24" si="12">L19+M19+N19</f>
        <v>6909.8361150000001</v>
      </c>
      <c r="Q19">
        <f>D19*900</f>
        <v>90000</v>
      </c>
      <c r="R19" s="23">
        <f t="shared" ref="R19:R24" si="13">P19+Q19</f>
        <v>96909.836114999998</v>
      </c>
      <c r="S19" s="23">
        <f>R19</f>
        <v>96909.836114999998</v>
      </c>
      <c r="T19" s="4"/>
      <c r="U19" s="4"/>
      <c r="W19" s="12"/>
      <c r="Y19" s="5"/>
      <c r="Z19" s="5"/>
      <c r="AB19" s="5"/>
      <c r="AD19" s="5"/>
    </row>
    <row r="20" spans="1:30" x14ac:dyDescent="0.25">
      <c r="A20" t="s">
        <v>61</v>
      </c>
      <c r="B20" t="s">
        <v>76</v>
      </c>
      <c r="D20">
        <v>100</v>
      </c>
      <c r="E20">
        <v>5000</v>
      </c>
      <c r="F20" s="4">
        <f>SQRT(D20*4*1000/E20/3.14159)*1000</f>
        <v>5046.2671752405386</v>
      </c>
      <c r="G20">
        <v>5000</v>
      </c>
      <c r="H20" s="4">
        <v>8</v>
      </c>
      <c r="I20" s="4">
        <v>6</v>
      </c>
      <c r="J20" t="s">
        <v>84</v>
      </c>
      <c r="K20" s="5"/>
      <c r="L20" s="5">
        <f t="shared" si="10"/>
        <v>4315.7592624999997</v>
      </c>
      <c r="M20" s="5">
        <f t="shared" ref="M20:M24" si="14">G20*G20*1.05*1.05*(K20+H20)*7.85*2/2000000</f>
        <v>1730.925</v>
      </c>
      <c r="N20" s="5">
        <f t="shared" si="11"/>
        <v>863.15185250000002</v>
      </c>
      <c r="O20" s="8">
        <f>(L20+M20+N20)*F2*2</f>
        <v>1381967.223</v>
      </c>
      <c r="P20" s="5">
        <f t="shared" si="12"/>
        <v>6909.8361150000001</v>
      </c>
      <c r="Q20">
        <f>D20*900</f>
        <v>90000</v>
      </c>
      <c r="R20" s="23">
        <f t="shared" si="13"/>
        <v>96909.836114999998</v>
      </c>
      <c r="S20" s="23">
        <f t="shared" ref="S20:S24" si="15">R20</f>
        <v>96909.836114999998</v>
      </c>
      <c r="T20" s="4"/>
      <c r="U20" s="4"/>
      <c r="W20" s="12"/>
      <c r="Y20" s="5"/>
      <c r="Z20" s="5"/>
    </row>
    <row r="21" spans="1:30" x14ac:dyDescent="0.25">
      <c r="A21" t="s">
        <v>14</v>
      </c>
      <c r="B21" t="s">
        <v>77</v>
      </c>
      <c r="D21">
        <v>25</v>
      </c>
      <c r="E21">
        <v>3000</v>
      </c>
      <c r="F21" s="4">
        <f>SQRT(D21*4*1000/E21/3.14159)*1000</f>
        <v>3257.3514550366253</v>
      </c>
      <c r="G21">
        <v>3000</v>
      </c>
      <c r="H21" s="4">
        <v>6</v>
      </c>
      <c r="I21" s="4">
        <v>5</v>
      </c>
      <c r="J21" t="s">
        <v>84</v>
      </c>
      <c r="K21" s="5"/>
      <c r="L21" s="5">
        <f t="shared" si="10"/>
        <v>1220.7433342500001</v>
      </c>
      <c r="M21" s="5">
        <f t="shared" si="14"/>
        <v>467.34974999999997</v>
      </c>
      <c r="N21" s="5">
        <f t="shared" si="11"/>
        <v>244.14866685000004</v>
      </c>
      <c r="O21" s="8">
        <f>(L21+M21+N21)*F2*2</f>
        <v>386448.35022000008</v>
      </c>
      <c r="P21" s="5">
        <f t="shared" si="12"/>
        <v>1932.2417511000003</v>
      </c>
      <c r="Q21">
        <f>D21*1500</f>
        <v>37500</v>
      </c>
      <c r="R21" s="23">
        <f t="shared" si="13"/>
        <v>39432.241751100002</v>
      </c>
      <c r="S21" s="23">
        <f t="shared" si="15"/>
        <v>39432.241751100002</v>
      </c>
    </row>
    <row r="22" spans="1:30" x14ac:dyDescent="0.25">
      <c r="A22" t="s">
        <v>59</v>
      </c>
      <c r="B22" t="s">
        <v>81</v>
      </c>
      <c r="D22">
        <v>20</v>
      </c>
      <c r="E22">
        <v>3600</v>
      </c>
      <c r="F22" s="4">
        <f t="shared" ref="F22" si="16">SQRT(D22*4*1000/E22/3.14159)*1000</f>
        <v>2659.6163259173577</v>
      </c>
      <c r="G22" s="4">
        <v>2500</v>
      </c>
      <c r="H22" s="4">
        <v>6</v>
      </c>
      <c r="I22" s="4"/>
      <c r="J22" s="4"/>
      <c r="K22" s="5"/>
      <c r="L22" s="5">
        <f t="shared" si="10"/>
        <v>665.86000049999984</v>
      </c>
      <c r="M22" s="5">
        <f t="shared" ref="M22" si="17">G22*G22*1.05*1.05*(K22+H22)*7.85/1000000</f>
        <v>324.54843749999998</v>
      </c>
      <c r="N22" s="5">
        <f t="shared" si="11"/>
        <v>133.17200009999996</v>
      </c>
      <c r="O22" s="8">
        <f>(L22+M22+N22)*F2*2</f>
        <v>224716.08761999995</v>
      </c>
      <c r="P22" s="5">
        <f t="shared" si="12"/>
        <v>1123.5804380999998</v>
      </c>
      <c r="Q22">
        <f>D22*1500</f>
        <v>30000</v>
      </c>
      <c r="R22" s="23">
        <f t="shared" si="13"/>
        <v>31123.580438099998</v>
      </c>
      <c r="S22" s="23">
        <f t="shared" si="15"/>
        <v>31123.580438099998</v>
      </c>
    </row>
    <row r="23" spans="1:30" x14ac:dyDescent="0.25">
      <c r="A23" t="s">
        <v>58</v>
      </c>
      <c r="B23" t="s">
        <v>78</v>
      </c>
      <c r="D23">
        <v>25</v>
      </c>
      <c r="E23">
        <v>3000</v>
      </c>
      <c r="F23" s="4">
        <f t="shared" ref="F23" si="18">SQRT(D23*4*1000/E23/3.14159)*1000</f>
        <v>3257.3514550366253</v>
      </c>
      <c r="G23">
        <v>3000</v>
      </c>
      <c r="H23" s="4">
        <v>8</v>
      </c>
      <c r="I23" s="4">
        <v>5</v>
      </c>
      <c r="J23" t="s">
        <v>84</v>
      </c>
      <c r="K23" s="5"/>
      <c r="L23" s="5">
        <f t="shared" si="10"/>
        <v>1442.69666775</v>
      </c>
      <c r="M23" s="5">
        <f t="shared" si="14"/>
        <v>623.13300000000004</v>
      </c>
      <c r="N23" s="5">
        <f t="shared" si="11"/>
        <v>288.53933354999998</v>
      </c>
      <c r="O23" s="8">
        <f>(L23+M23+N23)*F2*2</f>
        <v>470873.80025999999</v>
      </c>
      <c r="P23" s="5">
        <f t="shared" si="12"/>
        <v>2354.3690013</v>
      </c>
      <c r="Q23">
        <f>D23*1000</f>
        <v>25000</v>
      </c>
      <c r="R23" s="23">
        <f t="shared" si="13"/>
        <v>27354.369001300001</v>
      </c>
      <c r="S23" s="23">
        <f t="shared" si="15"/>
        <v>27354.369001300001</v>
      </c>
      <c r="Y23" s="5"/>
      <c r="Z23" s="5"/>
    </row>
    <row r="24" spans="1:30" x14ac:dyDescent="0.25">
      <c r="A24" t="s">
        <v>57</v>
      </c>
      <c r="B24" t="s">
        <v>79</v>
      </c>
      <c r="D24">
        <v>20</v>
      </c>
      <c r="E24">
        <v>3000</v>
      </c>
      <c r="F24" s="4">
        <f>SQRT(D24*4*1000/E24/3.14159)*1000</f>
        <v>2913.4637120278971</v>
      </c>
      <c r="G24">
        <v>3000</v>
      </c>
      <c r="H24" s="4">
        <v>6</v>
      </c>
      <c r="I24" s="4">
        <v>5</v>
      </c>
      <c r="J24" t="s">
        <v>84</v>
      </c>
      <c r="K24" s="5"/>
      <c r="L24" s="5">
        <f t="shared" si="10"/>
        <v>1220.7433342500001</v>
      </c>
      <c r="M24" s="5">
        <f t="shared" si="14"/>
        <v>467.34974999999997</v>
      </c>
      <c r="N24" s="5">
        <f t="shared" si="11"/>
        <v>244.14866685000004</v>
      </c>
      <c r="O24" s="8">
        <f>(L24+M24+N24)*F2*2</f>
        <v>386448.35022000008</v>
      </c>
      <c r="P24" s="5">
        <f t="shared" si="12"/>
        <v>1932.2417511000003</v>
      </c>
      <c r="Q24">
        <f>D24*800</f>
        <v>16000</v>
      </c>
      <c r="R24" s="23">
        <f t="shared" si="13"/>
        <v>17932.241751100002</v>
      </c>
      <c r="S24" s="23">
        <f t="shared" si="15"/>
        <v>17932.241751100002</v>
      </c>
      <c r="Y24" s="5"/>
      <c r="Z24" s="5"/>
    </row>
    <row r="25" spans="1:30" x14ac:dyDescent="0.25">
      <c r="F25" s="4"/>
      <c r="H25" s="4"/>
      <c r="I25" s="4"/>
      <c r="K25" s="5"/>
      <c r="L25" s="5"/>
      <c r="M25" s="5"/>
      <c r="N25" s="5"/>
      <c r="O25" s="8"/>
      <c r="P25" s="5"/>
      <c r="R25" s="23"/>
      <c r="S25" s="23"/>
      <c r="Y25" s="5"/>
      <c r="Z25" s="5"/>
    </row>
    <row r="26" spans="1:30" x14ac:dyDescent="0.25">
      <c r="A26" s="33" t="s">
        <v>116</v>
      </c>
      <c r="F26" s="4"/>
      <c r="H26" s="4"/>
      <c r="I26" s="4"/>
      <c r="K26" s="5"/>
      <c r="L26" s="5"/>
      <c r="M26" s="5"/>
      <c r="N26" s="5"/>
      <c r="O26" s="8"/>
      <c r="P26" s="5"/>
      <c r="R26" s="23"/>
      <c r="S26" s="23"/>
      <c r="Y26" s="5"/>
      <c r="Z26" s="5"/>
    </row>
    <row r="27" spans="1:30" x14ac:dyDescent="0.25">
      <c r="A27" t="s">
        <v>103</v>
      </c>
      <c r="E27" t="s">
        <v>102</v>
      </c>
      <c r="F27">
        <f>F29/2000</f>
        <v>0.61388888888888893</v>
      </c>
      <c r="G27">
        <v>1</v>
      </c>
      <c r="H27" s="4"/>
      <c r="I27" s="4"/>
      <c r="K27" s="5"/>
      <c r="L27" s="5"/>
      <c r="M27" s="5"/>
      <c r="N27" s="5"/>
      <c r="O27" s="8"/>
      <c r="P27" s="5"/>
      <c r="R27" s="23"/>
      <c r="S27" s="23"/>
      <c r="Y27" s="5"/>
      <c r="Z27" s="5"/>
    </row>
    <row r="28" spans="1:30" x14ac:dyDescent="0.25">
      <c r="A28" t="s">
        <v>101</v>
      </c>
      <c r="N28" t="s">
        <v>13</v>
      </c>
      <c r="O28" s="8">
        <f>SUM(O5:O24)</f>
        <v>9767164.4213860016</v>
      </c>
      <c r="P28" s="8"/>
      <c r="Q28" s="17"/>
      <c r="R28" s="8"/>
      <c r="S28" s="8"/>
      <c r="Y28" s="5"/>
      <c r="Z28" s="5"/>
    </row>
    <row r="29" spans="1:30" x14ac:dyDescent="0.25">
      <c r="A29" t="s">
        <v>15</v>
      </c>
      <c r="E29" t="s">
        <v>17</v>
      </c>
      <c r="F29" s="4">
        <f>(D5*2+D8+D10*2+D10+D11)*40000/450/2</f>
        <v>1227.7777777777778</v>
      </c>
      <c r="G29">
        <v>1500</v>
      </c>
      <c r="O29" s="8"/>
      <c r="P29" s="8"/>
      <c r="Q29" s="8"/>
      <c r="R29" s="8"/>
      <c r="S29" s="8"/>
      <c r="Y29" s="5"/>
      <c r="Z29" s="5"/>
    </row>
    <row r="30" spans="1:30" x14ac:dyDescent="0.25">
      <c r="A30" t="s">
        <v>16</v>
      </c>
      <c r="E30" t="s">
        <v>18</v>
      </c>
      <c r="G30">
        <f>G29*450/3/600</f>
        <v>375</v>
      </c>
      <c r="O30" s="8"/>
      <c r="P30" s="8"/>
      <c r="Q30" s="8"/>
      <c r="R30" s="8"/>
      <c r="S30" s="8"/>
      <c r="Y30" s="5"/>
      <c r="Z30" s="5"/>
    </row>
    <row r="31" spans="1:30" x14ac:dyDescent="0.25">
      <c r="E31" t="s">
        <v>86</v>
      </c>
      <c r="G31" s="4">
        <f>G29/100*7*18</f>
        <v>1890</v>
      </c>
      <c r="O31" s="8"/>
      <c r="P31" s="8"/>
      <c r="Q31" s="8"/>
      <c r="R31" s="8"/>
      <c r="S31" s="8"/>
      <c r="Y31" s="5"/>
      <c r="Z31" s="5"/>
    </row>
    <row r="32" spans="1:30" x14ac:dyDescent="0.25">
      <c r="Y32" s="5"/>
      <c r="Z32" s="5"/>
      <c r="AB32" s="5"/>
      <c r="AD32" s="5"/>
    </row>
    <row r="33" spans="1:4" x14ac:dyDescent="0.25">
      <c r="A33" s="33" t="s">
        <v>42</v>
      </c>
    </row>
    <row r="34" spans="1:4" ht="45" x14ac:dyDescent="0.25">
      <c r="A34" s="7" t="s">
        <v>39</v>
      </c>
      <c r="B34" s="26" t="s">
        <v>88</v>
      </c>
      <c r="C34" s="26" t="s">
        <v>40</v>
      </c>
      <c r="D34" s="26" t="s">
        <v>41</v>
      </c>
    </row>
    <row r="35" spans="1:4" x14ac:dyDescent="0.25">
      <c r="A35" s="8" t="s">
        <v>47</v>
      </c>
      <c r="B35" s="17">
        <f>G30</f>
        <v>375</v>
      </c>
      <c r="C35" s="5">
        <f>SQRT(B35/1000/60/3.14)*1000</f>
        <v>44.614413140515602</v>
      </c>
      <c r="D35" s="5">
        <f>SQRT(B35*3/4/1000/60/3.14)*1000</f>
        <v>38.63721515462079</v>
      </c>
    </row>
    <row r="36" spans="1:4" x14ac:dyDescent="0.25">
      <c r="A36" s="8" t="s">
        <v>62</v>
      </c>
      <c r="B36" s="17">
        <f>D5*1000/15</f>
        <v>433.33333333333331</v>
      </c>
      <c r="C36" s="5">
        <f>SQRT(B36/1000/60/3.14)*1000</f>
        <v>47.959053070388606</v>
      </c>
      <c r="D36" s="5">
        <f>SQRT(B36*3/4/1000/60/3.14)*1000</f>
        <v>41.533758300402617</v>
      </c>
    </row>
    <row r="37" spans="1:4" x14ac:dyDescent="0.25">
      <c r="A37" s="8" t="s">
        <v>63</v>
      </c>
      <c r="B37" s="17">
        <f>D8*1000/15</f>
        <v>433.33333333333331</v>
      </c>
      <c r="C37" s="5">
        <f t="shared" ref="C37:C48" si="19">SQRT(B37/1000/60/3.14)*1000</f>
        <v>47.959053070388606</v>
      </c>
      <c r="D37" s="5">
        <f t="shared" ref="D37:D48" si="20">SQRT(B37*3/4/1000/60/3.14)*1000</f>
        <v>41.533758300402617</v>
      </c>
    </row>
    <row r="38" spans="1:4" x14ac:dyDescent="0.25">
      <c r="A38" s="8" t="s">
        <v>64</v>
      </c>
      <c r="B38" s="17">
        <f>D9*1000*0.1/60</f>
        <v>10.833333333333334</v>
      </c>
      <c r="C38" s="5">
        <f t="shared" si="19"/>
        <v>7.5829921063659818</v>
      </c>
      <c r="D38" s="5">
        <f t="shared" si="20"/>
        <v>6.5670638008098097</v>
      </c>
    </row>
    <row r="39" spans="1:4" x14ac:dyDescent="0.25">
      <c r="A39" s="8" t="s">
        <v>48</v>
      </c>
      <c r="B39" s="17">
        <f>D9*1000*0.9/60</f>
        <v>97.5</v>
      </c>
      <c r="C39" s="5">
        <f t="shared" si="19"/>
        <v>22.748976319097942</v>
      </c>
      <c r="D39" s="5">
        <f t="shared" si="20"/>
        <v>19.701191402429426</v>
      </c>
    </row>
    <row r="40" spans="1:4" x14ac:dyDescent="0.25">
      <c r="A40" s="8" t="s">
        <v>65</v>
      </c>
      <c r="B40" s="17">
        <f>B39</f>
        <v>97.5</v>
      </c>
      <c r="C40" s="5">
        <f t="shared" si="19"/>
        <v>22.748976319097942</v>
      </c>
      <c r="D40" s="5">
        <f t="shared" si="20"/>
        <v>19.701191402429426</v>
      </c>
    </row>
    <row r="41" spans="1:4" x14ac:dyDescent="0.25">
      <c r="A41" s="8" t="s">
        <v>66</v>
      </c>
      <c r="B41" s="17">
        <f>D10*1000/60</f>
        <v>16.25</v>
      </c>
      <c r="C41" s="5">
        <f t="shared" si="19"/>
        <v>9.2872306920746368</v>
      </c>
      <c r="D41" s="5">
        <f t="shared" si="20"/>
        <v>8.0429777101431696</v>
      </c>
    </row>
    <row r="42" spans="1:4" x14ac:dyDescent="0.25">
      <c r="A42" s="8" t="s">
        <v>67</v>
      </c>
      <c r="B42" s="17">
        <f>D11*1000/60</f>
        <v>86.666666666666671</v>
      </c>
      <c r="C42" s="5">
        <f t="shared" si="19"/>
        <v>21.447940560381788</v>
      </c>
      <c r="D42" s="5">
        <f t="shared" si="20"/>
        <v>18.574461384149274</v>
      </c>
    </row>
    <row r="43" spans="1:4" x14ac:dyDescent="0.25">
      <c r="A43" s="8" t="s">
        <v>68</v>
      </c>
      <c r="B43" s="17">
        <f>10000/60</f>
        <v>166.66666666666666</v>
      </c>
      <c r="C43" s="5">
        <f t="shared" si="19"/>
        <v>29.742942093677069</v>
      </c>
      <c r="D43" s="5">
        <f t="shared" si="20"/>
        <v>25.75814343641386</v>
      </c>
    </row>
    <row r="44" spans="1:4" x14ac:dyDescent="0.25">
      <c r="A44" s="8" t="s">
        <v>69</v>
      </c>
      <c r="B44" s="17">
        <f>G29*1.2/60</f>
        <v>30</v>
      </c>
      <c r="C44" s="5">
        <f t="shared" si="19"/>
        <v>12.618861628126719</v>
      </c>
      <c r="D44" s="5">
        <f t="shared" si="20"/>
        <v>10.928254736798401</v>
      </c>
    </row>
    <row r="45" spans="1:4" x14ac:dyDescent="0.25">
      <c r="A45" s="8" t="s">
        <v>70</v>
      </c>
      <c r="B45" s="17">
        <f>D6*1000/60</f>
        <v>33.333333333333336</v>
      </c>
      <c r="C45" s="5">
        <f t="shared" si="19"/>
        <v>13.301448074460369</v>
      </c>
      <c r="D45" s="5">
        <f t="shared" si="20"/>
        <v>11.519391939602285</v>
      </c>
    </row>
    <row r="46" spans="1:4" x14ac:dyDescent="0.25">
      <c r="A46" s="8" t="s">
        <v>71</v>
      </c>
      <c r="B46" s="17">
        <f>10000/60</f>
        <v>166.66666666666666</v>
      </c>
      <c r="C46" s="5">
        <f t="shared" si="19"/>
        <v>29.742942093677069</v>
      </c>
      <c r="D46" s="5">
        <f t="shared" si="20"/>
        <v>25.75814343641386</v>
      </c>
    </row>
    <row r="47" spans="1:4" x14ac:dyDescent="0.25">
      <c r="A47" s="8" t="s">
        <v>72</v>
      </c>
      <c r="B47" s="17">
        <f>D7*1000/60</f>
        <v>100</v>
      </c>
      <c r="C47" s="5">
        <f t="shared" si="19"/>
        <v>23.038783879204569</v>
      </c>
      <c r="D47" s="5">
        <f t="shared" si="20"/>
        <v>19.952172111690555</v>
      </c>
    </row>
    <row r="48" spans="1:4" x14ac:dyDescent="0.25">
      <c r="A48" s="8" t="s">
        <v>73</v>
      </c>
      <c r="B48" s="17">
        <f>10000/60</f>
        <v>166.66666666666666</v>
      </c>
      <c r="C48" s="5">
        <f t="shared" si="19"/>
        <v>29.742942093677069</v>
      </c>
      <c r="D48" s="5">
        <f t="shared" si="20"/>
        <v>25.75814343641386</v>
      </c>
    </row>
  </sheetData>
  <mergeCells count="5">
    <mergeCell ref="X17:Y17"/>
    <mergeCell ref="H4:I4"/>
    <mergeCell ref="X5:Y5"/>
    <mergeCell ref="X9:Y9"/>
    <mergeCell ref="X13:Y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ht="19.5" customHeight="1" x14ac:dyDescent="0.25">
      <c r="A1" s="37" t="s">
        <v>19</v>
      </c>
      <c r="B1" s="37"/>
      <c r="C1" s="37"/>
      <c r="D1" s="37"/>
      <c r="E1">
        <v>200</v>
      </c>
    </row>
    <row r="2" spans="1:16" ht="36" customHeight="1" x14ac:dyDescent="0.25">
      <c r="A2" s="35" t="s">
        <v>114</v>
      </c>
      <c r="B2" s="34"/>
      <c r="C2" s="34"/>
      <c r="D2" s="34"/>
    </row>
    <row r="3" spans="1:16" x14ac:dyDescent="0.25">
      <c r="A3" t="s">
        <v>34</v>
      </c>
      <c r="B3">
        <v>10000</v>
      </c>
      <c r="C3" t="s">
        <v>35</v>
      </c>
    </row>
    <row r="4" spans="1:16" ht="60" x14ac:dyDescent="0.25">
      <c r="A4" s="11" t="s">
        <v>3</v>
      </c>
      <c r="B4" s="11" t="s">
        <v>33</v>
      </c>
      <c r="C4" s="11" t="s">
        <v>4</v>
      </c>
      <c r="D4" s="11" t="s">
        <v>5</v>
      </c>
      <c r="E4" s="11" t="s">
        <v>6</v>
      </c>
      <c r="F4" s="11" t="s">
        <v>10</v>
      </c>
      <c r="G4" s="11" t="s">
        <v>108</v>
      </c>
      <c r="H4" s="11" t="s">
        <v>12</v>
      </c>
      <c r="I4" s="11" t="s">
        <v>117</v>
      </c>
      <c r="J4" s="14" t="s">
        <v>11</v>
      </c>
      <c r="K4" s="16" t="s">
        <v>43</v>
      </c>
      <c r="L4" s="16" t="s">
        <v>45</v>
      </c>
      <c r="M4" s="16" t="s">
        <v>44</v>
      </c>
      <c r="N4" s="16" t="s">
        <v>46</v>
      </c>
    </row>
    <row r="5" spans="1:16" x14ac:dyDescent="0.25">
      <c r="A5" s="3" t="s">
        <v>1</v>
      </c>
      <c r="B5">
        <v>750</v>
      </c>
      <c r="C5">
        <v>1200</v>
      </c>
      <c r="D5" s="4">
        <f>SQRT(B5*4/C5/3.14159)*1000</f>
        <v>892.06243482291711</v>
      </c>
      <c r="E5">
        <v>900</v>
      </c>
      <c r="F5" s="5">
        <v>4</v>
      </c>
      <c r="G5" s="5">
        <f>3.14159*E5*C5*F5*7.85/1000000</f>
        <v>106.53760008</v>
      </c>
      <c r="H5" s="5">
        <f>E5*E5*1.22*1.22*F5*7.85*2/1000000</f>
        <v>75.711931200000009</v>
      </c>
      <c r="I5" s="5">
        <f t="shared" ref="I5:I14" si="0">G5*0.2</f>
        <v>21.307520016000002</v>
      </c>
      <c r="J5" s="8">
        <f>(G5+H5+I5)*E1</f>
        <v>40711.410259200005</v>
      </c>
      <c r="K5" s="5">
        <f t="shared" ref="K5:K14" si="1">G5+H5+I5</f>
        <v>203.55705129600003</v>
      </c>
      <c r="L5" s="5">
        <f>K5*0.8</f>
        <v>162.84564103680003</v>
      </c>
      <c r="M5" s="5">
        <f>K5+L5</f>
        <v>366.40269233280003</v>
      </c>
      <c r="N5" s="5">
        <f>M5</f>
        <v>366.40269233280003</v>
      </c>
    </row>
    <row r="6" spans="1:16" x14ac:dyDescent="0.25">
      <c r="A6" t="s">
        <v>22</v>
      </c>
      <c r="B6">
        <v>3000</v>
      </c>
      <c r="C6">
        <v>1750</v>
      </c>
      <c r="D6" s="4">
        <f>SQRT(B6*4/C6/3.14159)*1000</f>
        <v>1477.395751330509</v>
      </c>
      <c r="E6">
        <v>1500</v>
      </c>
      <c r="F6" s="5">
        <v>8</v>
      </c>
      <c r="G6" s="5">
        <f>3.14159*E6*C6*F6*7.85*2/1000000</f>
        <v>1035.7822229999999</v>
      </c>
      <c r="H6" s="5">
        <f>E6*E6*1.22*1.22*F6*7.85*2/1000000</f>
        <v>420.62184000000002</v>
      </c>
      <c r="I6" s="5">
        <f t="shared" si="0"/>
        <v>207.15644459999999</v>
      </c>
      <c r="J6" s="8">
        <f>(G6+H6+I6)*E1</f>
        <v>332712.10151999997</v>
      </c>
      <c r="K6" s="5">
        <f t="shared" si="1"/>
        <v>1663.5605075999999</v>
      </c>
      <c r="L6" s="5">
        <f t="shared" ref="L6:L14" si="2">K6*0.8</f>
        <v>1330.8484060800001</v>
      </c>
      <c r="M6" s="5">
        <f t="shared" ref="M6:M14" si="3">K6+L6</f>
        <v>2994.4089136800003</v>
      </c>
      <c r="N6" s="5">
        <f t="shared" ref="N6:N14" si="4">M6</f>
        <v>2994.4089136800003</v>
      </c>
    </row>
    <row r="7" spans="1:16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5">
        <v>6</v>
      </c>
      <c r="G7" s="5">
        <f>3.14159*E7*C7*F7*7.85/1000000</f>
        <v>144.26966677500002</v>
      </c>
      <c r="H7" s="5">
        <f>E7*E7*1.22*1.22*F7*7.85/1000000</f>
        <v>7.4046969749999993</v>
      </c>
      <c r="I7" s="5">
        <f t="shared" si="0"/>
        <v>28.853933355000006</v>
      </c>
      <c r="J7" s="8">
        <f>(G7+H7+I7)*E1*1.5</f>
        <v>54158.489131500006</v>
      </c>
      <c r="K7" s="5">
        <f t="shared" si="1"/>
        <v>180.52829710500004</v>
      </c>
      <c r="L7" s="5">
        <f t="shared" si="2"/>
        <v>144.42263768400002</v>
      </c>
      <c r="M7" s="5">
        <f t="shared" si="3"/>
        <v>324.95093478900003</v>
      </c>
      <c r="N7" s="5">
        <f t="shared" si="4"/>
        <v>324.95093478900003</v>
      </c>
    </row>
    <row r="8" spans="1:16" x14ac:dyDescent="0.25">
      <c r="A8" t="s">
        <v>23</v>
      </c>
      <c r="B8">
        <v>300</v>
      </c>
      <c r="C8">
        <v>700</v>
      </c>
      <c r="D8" s="4">
        <f>SQRT(B8*4/C8/3.14159)*1000</f>
        <v>738.69787566525451</v>
      </c>
      <c r="E8">
        <v>750</v>
      </c>
      <c r="F8" s="5">
        <v>6</v>
      </c>
      <c r="G8" s="5">
        <f>3.14159*E8*C8*F8*7.85/1000000</f>
        <v>77.683666724999995</v>
      </c>
      <c r="H8" s="5">
        <f>E8*E8*1.22*1.22*F8*7.85*2/1000000</f>
        <v>78.866595000000004</v>
      </c>
      <c r="I8" s="5">
        <f t="shared" si="0"/>
        <v>15.536733345</v>
      </c>
      <c r="J8" s="8">
        <f>(G8+H8+I8)*E1*1.5</f>
        <v>51626.098520999993</v>
      </c>
      <c r="K8" s="5">
        <f t="shared" si="1"/>
        <v>172.08699506999997</v>
      </c>
      <c r="L8" s="5">
        <f t="shared" si="2"/>
        <v>137.66959605599999</v>
      </c>
      <c r="M8" s="5">
        <f t="shared" si="3"/>
        <v>309.75659112599999</v>
      </c>
      <c r="N8" s="5">
        <f t="shared" si="4"/>
        <v>309.75659112599999</v>
      </c>
    </row>
    <row r="9" spans="1:16" x14ac:dyDescent="0.25">
      <c r="A9" t="s">
        <v>8</v>
      </c>
      <c r="B9">
        <v>1500</v>
      </c>
      <c r="C9" s="10">
        <v>1750</v>
      </c>
      <c r="D9" s="4">
        <f>SQRT(B9*4/C9/3.14159)*1000</f>
        <v>1044.6765542619971</v>
      </c>
      <c r="E9">
        <v>1000</v>
      </c>
      <c r="F9" s="5">
        <v>8</v>
      </c>
      <c r="G9" s="5">
        <f>3.14159*E9*C9*F9*7.85*2/1000000</f>
        <v>690.52148199999988</v>
      </c>
      <c r="H9" s="5">
        <f>E9*E9*1.22*1.22*F9*7.85*2/1000000</f>
        <v>186.94304</v>
      </c>
      <c r="I9" s="5">
        <f t="shared" si="0"/>
        <v>138.10429639999998</v>
      </c>
      <c r="J9" s="8">
        <f>(G9+H9+I9)*E1</f>
        <v>203113.76367999997</v>
      </c>
      <c r="K9" s="5">
        <f t="shared" si="1"/>
        <v>1015.5688183999998</v>
      </c>
      <c r="L9" s="5">
        <f t="shared" si="2"/>
        <v>812.45505471999991</v>
      </c>
      <c r="M9" s="5">
        <f t="shared" si="3"/>
        <v>1828.0238731199997</v>
      </c>
      <c r="N9" s="5">
        <f t="shared" si="4"/>
        <v>1828.0238731199997</v>
      </c>
    </row>
    <row r="10" spans="1:16" x14ac:dyDescent="0.25">
      <c r="A10" t="s">
        <v>24</v>
      </c>
      <c r="B10" s="4">
        <f>3.14159*C10*E10*E10/4000000</f>
        <v>497.74566562500002</v>
      </c>
      <c r="C10" s="10">
        <v>6000</v>
      </c>
      <c r="D10" s="4"/>
      <c r="E10">
        <v>325</v>
      </c>
      <c r="F10" s="5">
        <v>6</v>
      </c>
      <c r="G10" s="5">
        <f>3.14159*E10*C10*F10*7.85/1000000</f>
        <v>288.53933355000004</v>
      </c>
      <c r="H10" s="5">
        <f>E10*E10*1.22*1.22*F10*7.85/1000000</f>
        <v>7.4046969749999993</v>
      </c>
      <c r="I10" s="5">
        <f t="shared" si="0"/>
        <v>57.707866710000012</v>
      </c>
      <c r="J10" s="8">
        <f>(G10+H10+I10)*E1*2.5</f>
        <v>176825.94861750002</v>
      </c>
      <c r="K10" s="5">
        <f t="shared" si="1"/>
        <v>353.65189723500004</v>
      </c>
      <c r="L10" s="5">
        <f t="shared" si="2"/>
        <v>282.92151778800002</v>
      </c>
      <c r="M10" s="5">
        <f t="shared" si="3"/>
        <v>636.57341502300005</v>
      </c>
      <c r="N10" s="5">
        <f t="shared" si="4"/>
        <v>636.57341502300005</v>
      </c>
    </row>
    <row r="11" spans="1:16" x14ac:dyDescent="0.25">
      <c r="A11" t="s">
        <v>9</v>
      </c>
      <c r="B11">
        <v>750</v>
      </c>
      <c r="C11" s="10">
        <v>1200</v>
      </c>
      <c r="D11" s="4">
        <f>SQRT(B11*4/C11/3.14159)*1000</f>
        <v>892.06243482291711</v>
      </c>
      <c r="E11">
        <v>900</v>
      </c>
      <c r="F11" s="5">
        <v>6</v>
      </c>
      <c r="G11" s="5">
        <f>3.14159*E11*C11*F11*7.85/1000000</f>
        <v>159.80640012000001</v>
      </c>
      <c r="H11" s="5">
        <f>E11*E11*1.22*1.22*F11*7.85*2/1000000</f>
        <v>113.5678968</v>
      </c>
      <c r="I11" s="5">
        <f t="shared" si="0"/>
        <v>31.961280024000004</v>
      </c>
      <c r="J11" s="8">
        <f>(G11+H11+I11)*E1</f>
        <v>61067.115388800004</v>
      </c>
      <c r="K11" s="5">
        <f t="shared" si="1"/>
        <v>305.33557694400002</v>
      </c>
      <c r="L11" s="5">
        <f t="shared" si="2"/>
        <v>244.26846155520002</v>
      </c>
      <c r="M11" s="5">
        <f t="shared" si="3"/>
        <v>549.60403849919999</v>
      </c>
      <c r="N11" s="5">
        <f t="shared" si="4"/>
        <v>549.60403849919999</v>
      </c>
    </row>
    <row r="12" spans="1:16" x14ac:dyDescent="0.25">
      <c r="A12" t="s">
        <v>25</v>
      </c>
      <c r="B12">
        <v>1500</v>
      </c>
      <c r="C12" s="10">
        <v>1750</v>
      </c>
      <c r="D12" s="4">
        <f>SQRT(B12*4/C12/3.14159)*1000</f>
        <v>1044.6765542619971</v>
      </c>
      <c r="E12">
        <v>1000</v>
      </c>
      <c r="F12" s="5">
        <v>8</v>
      </c>
      <c r="G12" s="5">
        <f>3.14159*E12*C12*F12*7.85*2/1000000</f>
        <v>690.52148199999988</v>
      </c>
      <c r="H12" s="5">
        <f>E12*E12*1.22*1.22*F12*7.85*2/1000000</f>
        <v>186.94304</v>
      </c>
      <c r="I12" s="5">
        <f t="shared" si="0"/>
        <v>138.10429639999998</v>
      </c>
      <c r="J12" s="8">
        <f>(G12+H12+I12)*E1</f>
        <v>203113.76367999997</v>
      </c>
      <c r="K12" s="5">
        <f t="shared" si="1"/>
        <v>1015.5688183999998</v>
      </c>
      <c r="L12" s="5">
        <f t="shared" si="2"/>
        <v>812.45505471999991</v>
      </c>
      <c r="M12" s="5">
        <f t="shared" si="3"/>
        <v>1828.0238731199997</v>
      </c>
      <c r="N12" s="5">
        <f t="shared" si="4"/>
        <v>1828.0238731199997</v>
      </c>
    </row>
    <row r="13" spans="1:16" x14ac:dyDescent="0.25">
      <c r="A13" t="s">
        <v>26</v>
      </c>
      <c r="B13" s="4">
        <f>3.14159*C13*E13*E13/4000000</f>
        <v>497.74566562500002</v>
      </c>
      <c r="C13" s="10">
        <v>6000</v>
      </c>
      <c r="D13" s="4"/>
      <c r="E13">
        <v>325</v>
      </c>
      <c r="F13" s="5">
        <v>6</v>
      </c>
      <c r="G13" s="5">
        <f>3.14159*E13*C13*F13*7.85/1000000</f>
        <v>288.53933355000004</v>
      </c>
      <c r="H13" s="5">
        <f>E13*E13*1.22*1.22*F13*7.85/1000000</f>
        <v>7.4046969749999993</v>
      </c>
      <c r="I13" s="5">
        <f t="shared" si="0"/>
        <v>57.707866710000012</v>
      </c>
      <c r="J13" s="8">
        <f>(G13+H13+I13)*E1</f>
        <v>70730.379447000014</v>
      </c>
      <c r="K13" s="5">
        <f t="shared" si="1"/>
        <v>353.65189723500004</v>
      </c>
      <c r="L13" s="5">
        <f t="shared" si="2"/>
        <v>282.92151778800002</v>
      </c>
      <c r="M13" s="5">
        <f t="shared" si="3"/>
        <v>636.57341502300005</v>
      </c>
      <c r="N13" s="5">
        <f t="shared" si="4"/>
        <v>636.57341502300005</v>
      </c>
    </row>
    <row r="14" spans="1:16" x14ac:dyDescent="0.25">
      <c r="A14" t="s">
        <v>27</v>
      </c>
      <c r="B14">
        <v>750</v>
      </c>
      <c r="C14" s="10">
        <v>1200</v>
      </c>
      <c r="D14" s="4">
        <f>SQRT(B14*4/C14/3.14159)*1000</f>
        <v>892.06243482291711</v>
      </c>
      <c r="E14">
        <v>900</v>
      </c>
      <c r="F14" s="5">
        <v>8</v>
      </c>
      <c r="G14" s="5">
        <f>3.14159*E14*C14*F14*7.85/1000000</f>
        <v>213.07520016000001</v>
      </c>
      <c r="H14" s="5">
        <f>E14*E14*1.22*1.22*F14*7.85*2/1000000</f>
        <v>151.42386240000002</v>
      </c>
      <c r="I14" s="5">
        <f t="shared" si="0"/>
        <v>42.615040032000003</v>
      </c>
      <c r="J14" s="8">
        <f>(G14+H14+I14)*E1</f>
        <v>81422.820518400011</v>
      </c>
      <c r="K14" s="5">
        <f t="shared" si="1"/>
        <v>407.11410259200005</v>
      </c>
      <c r="L14" s="5">
        <f t="shared" si="2"/>
        <v>325.69128207360006</v>
      </c>
      <c r="M14" s="5">
        <f t="shared" si="3"/>
        <v>732.80538466560006</v>
      </c>
      <c r="N14" s="5">
        <f t="shared" si="4"/>
        <v>732.80538466560006</v>
      </c>
    </row>
    <row r="15" spans="1:16" x14ac:dyDescent="0.25">
      <c r="A15" t="s">
        <v>118</v>
      </c>
      <c r="C15" s="10"/>
      <c r="D15" s="4"/>
      <c r="F15" s="5"/>
      <c r="G15" s="5"/>
      <c r="H15" s="5"/>
      <c r="I15" s="5"/>
      <c r="J15" s="8">
        <v>250000</v>
      </c>
      <c r="K15" s="12"/>
      <c r="L15" s="4"/>
      <c r="M15" s="5"/>
      <c r="N15" s="5"/>
      <c r="O15" s="5"/>
      <c r="P15" s="5"/>
    </row>
    <row r="16" spans="1:16" x14ac:dyDescent="0.25">
      <c r="C16" s="10"/>
      <c r="D16" s="4"/>
      <c r="F16" s="5"/>
      <c r="G16" s="5"/>
      <c r="H16" s="5"/>
      <c r="I16" s="5"/>
      <c r="J16" s="8"/>
      <c r="K16" s="12"/>
      <c r="L16" s="4"/>
      <c r="M16" s="5"/>
      <c r="N16" s="5"/>
      <c r="O16" s="5"/>
      <c r="P16" s="5"/>
    </row>
    <row r="17" spans="1:12" x14ac:dyDescent="0.25">
      <c r="H17" s="5"/>
      <c r="I17" s="5" t="s">
        <v>13</v>
      </c>
      <c r="J17" s="8">
        <f>SUM(J5:J15)</f>
        <v>1525481.8907634001</v>
      </c>
      <c r="K17" s="12"/>
      <c r="L17" s="4"/>
    </row>
    <row r="18" spans="1:12" x14ac:dyDescent="0.25">
      <c r="H18" s="5"/>
      <c r="I18" s="5"/>
      <c r="J18" s="8"/>
      <c r="K18" s="12"/>
      <c r="L18" s="4"/>
    </row>
    <row r="19" spans="1:12" x14ac:dyDescent="0.25">
      <c r="A19" s="33" t="s">
        <v>116</v>
      </c>
    </row>
    <row r="20" spans="1:12" x14ac:dyDescent="0.25">
      <c r="A20" t="s">
        <v>38</v>
      </c>
      <c r="E20" t="s">
        <v>37</v>
      </c>
      <c r="F20">
        <f>B3*80/24*5</f>
        <v>166666.66666666669</v>
      </c>
    </row>
    <row r="21" spans="1:12" x14ac:dyDescent="0.25">
      <c r="A21" t="s">
        <v>16</v>
      </c>
      <c r="E21" t="s">
        <v>18</v>
      </c>
      <c r="F21" s="4">
        <f>F20*0.2/3/60</f>
        <v>185.18518518518519</v>
      </c>
    </row>
    <row r="23" spans="1:12" x14ac:dyDescent="0.25">
      <c r="A23" s="33" t="s">
        <v>42</v>
      </c>
    </row>
    <row r="24" spans="1:12" ht="45" x14ac:dyDescent="0.25">
      <c r="A24" s="11" t="s">
        <v>20</v>
      </c>
      <c r="B24" s="13" t="s">
        <v>36</v>
      </c>
    </row>
    <row r="25" spans="1:12" x14ac:dyDescent="0.25">
      <c r="A25" s="12" t="s">
        <v>28</v>
      </c>
      <c r="B25" s="4">
        <f>B3*0.95/16</f>
        <v>593.75</v>
      </c>
    </row>
    <row r="26" spans="1:12" x14ac:dyDescent="0.25">
      <c r="A26" s="12" t="s">
        <v>29</v>
      </c>
      <c r="B26" s="4">
        <f>B3*0.15/16</f>
        <v>93.75</v>
      </c>
    </row>
    <row r="27" spans="1:12" x14ac:dyDescent="0.25">
      <c r="A27" s="12" t="s">
        <v>30</v>
      </c>
      <c r="B27" s="4">
        <f>B3*0.5/16</f>
        <v>312.5</v>
      </c>
    </row>
    <row r="28" spans="1:12" x14ac:dyDescent="0.25">
      <c r="A28" s="12" t="s">
        <v>21</v>
      </c>
      <c r="B28" s="4">
        <f>B3*0.5/16</f>
        <v>312.5</v>
      </c>
    </row>
    <row r="29" spans="1:12" x14ac:dyDescent="0.25">
      <c r="A29" s="12" t="s">
        <v>31</v>
      </c>
      <c r="B29" s="4">
        <f>B3*0.15/16</f>
        <v>93.75</v>
      </c>
    </row>
    <row r="30" spans="1:12" x14ac:dyDescent="0.25">
      <c r="A30" s="12" t="s">
        <v>32</v>
      </c>
      <c r="B30" s="4">
        <f>B3*0.5/16</f>
        <v>312.5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2024-03-23T12:04:38Z</dcterms:modified>
</cp:coreProperties>
</file>