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ebpage\svlele\bd\"/>
    </mc:Choice>
  </mc:AlternateContent>
  <bookViews>
    <workbookView xWindow="0" yWindow="0" windowWidth="10785" windowHeight="9375"/>
  </bookViews>
  <sheets>
    <sheet name="biodiesel" sheetId="1" r:id="rId1"/>
    <sheet name="distillation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8" i="1"/>
  <c r="J7" i="4"/>
  <c r="O24" i="1"/>
  <c r="O23" i="1"/>
  <c r="O22" i="1"/>
  <c r="O21" i="1" l="1"/>
  <c r="O20" i="1"/>
  <c r="O19" i="1"/>
  <c r="O15" i="1"/>
  <c r="O14" i="1"/>
  <c r="O13" i="1"/>
  <c r="O10" i="1"/>
  <c r="N14" i="4" l="1"/>
  <c r="N13" i="4"/>
  <c r="N12" i="4"/>
  <c r="N11" i="4"/>
  <c r="N10" i="4"/>
  <c r="N9" i="4"/>
  <c r="N7" i="4"/>
  <c r="N6" i="4"/>
  <c r="N5" i="4"/>
  <c r="G12" i="4" l="1"/>
  <c r="G9" i="4"/>
  <c r="G6" i="4"/>
  <c r="H14" i="4"/>
  <c r="G14" i="4"/>
  <c r="H13" i="4"/>
  <c r="G13" i="4"/>
  <c r="H12" i="4"/>
  <c r="H11" i="4"/>
  <c r="G11" i="4"/>
  <c r="H10" i="4"/>
  <c r="G10" i="4"/>
  <c r="H9" i="4"/>
  <c r="H7" i="4"/>
  <c r="G7" i="4"/>
  <c r="H6" i="4"/>
  <c r="H5" i="4"/>
  <c r="G5" i="4"/>
  <c r="F20" i="4" l="1"/>
  <c r="F21" i="4" s="1"/>
  <c r="D14" i="4"/>
  <c r="B13" i="4"/>
  <c r="D12" i="4"/>
  <c r="D11" i="4"/>
  <c r="B30" i="4"/>
  <c r="I10" i="4"/>
  <c r="B10" i="4"/>
  <c r="B29" i="4"/>
  <c r="I9" i="4"/>
  <c r="K9" i="4" s="1"/>
  <c r="D9" i="4"/>
  <c r="B28" i="4"/>
  <c r="H8" i="4"/>
  <c r="G8" i="4"/>
  <c r="I8" i="4" s="1"/>
  <c r="D8" i="4"/>
  <c r="B27" i="4"/>
  <c r="I7" i="4"/>
  <c r="K7" i="4" s="1"/>
  <c r="B7" i="4"/>
  <c r="B26" i="4"/>
  <c r="I6" i="4"/>
  <c r="D6" i="4"/>
  <c r="B25" i="4"/>
  <c r="I5" i="4"/>
  <c r="K5" i="4" s="1"/>
  <c r="D5" i="4"/>
  <c r="L5" i="4" l="1"/>
  <c r="M5" i="4" s="1"/>
  <c r="L7" i="4"/>
  <c r="M7" i="4" s="1"/>
  <c r="L9" i="4"/>
  <c r="M9" i="4" s="1"/>
  <c r="K6" i="4"/>
  <c r="J6" i="4"/>
  <c r="K10" i="4"/>
  <c r="J10" i="4"/>
  <c r="J5" i="4"/>
  <c r="K8" i="4"/>
  <c r="J8" i="4"/>
  <c r="J17" i="4" s="1"/>
  <c r="J9" i="4"/>
  <c r="I12" i="4"/>
  <c r="K12" i="4" s="1"/>
  <c r="I14" i="4"/>
  <c r="J14" i="4" s="1"/>
  <c r="I11" i="4"/>
  <c r="J11" i="4" s="1"/>
  <c r="I13" i="4"/>
  <c r="J13" i="4" s="1"/>
  <c r="K14" i="4" l="1"/>
  <c r="L14" i="4" s="1"/>
  <c r="M14" i="4" s="1"/>
  <c r="L12" i="4"/>
  <c r="M12" i="4" s="1"/>
  <c r="J12" i="4"/>
  <c r="K13" i="4"/>
  <c r="L6" i="4"/>
  <c r="M6" i="4" s="1"/>
  <c r="L8" i="4"/>
  <c r="M8" i="4" s="1"/>
  <c r="N8" i="4" s="1"/>
  <c r="K11" i="4"/>
  <c r="L10" i="4"/>
  <c r="M10" i="4" s="1"/>
  <c r="L11" i="4" l="1"/>
  <c r="M11" i="4" s="1"/>
  <c r="L13" i="4"/>
  <c r="M13" i="4" s="1"/>
  <c r="G28" i="1" l="1"/>
  <c r="G29" i="1"/>
  <c r="M15" i="1" l="1"/>
  <c r="L15" i="1"/>
  <c r="M14" i="1"/>
  <c r="L14" i="1"/>
  <c r="L24" i="1"/>
  <c r="L23" i="1"/>
  <c r="L22" i="1"/>
  <c r="L21" i="1"/>
  <c r="L20" i="1"/>
  <c r="L19" i="1"/>
  <c r="L13" i="1"/>
  <c r="F24" i="1"/>
  <c r="F23" i="1"/>
  <c r="F22" i="1"/>
  <c r="F21" i="1"/>
  <c r="F20" i="1"/>
  <c r="F19" i="1"/>
  <c r="N14" i="1" l="1"/>
  <c r="N15" i="1"/>
  <c r="P15" i="1" l="1"/>
  <c r="P14" i="1"/>
  <c r="F37" i="1"/>
  <c r="B34" i="1" l="1"/>
  <c r="Q24" i="1"/>
  <c r="M24" i="1"/>
  <c r="N24" i="1"/>
  <c r="Q23" i="1"/>
  <c r="M23" i="1"/>
  <c r="N23" i="1"/>
  <c r="Q22" i="1"/>
  <c r="M22" i="1"/>
  <c r="Q21" i="1"/>
  <c r="M21" i="1"/>
  <c r="Q20" i="1"/>
  <c r="M20" i="1"/>
  <c r="F40" i="1"/>
  <c r="H40" i="1" s="1"/>
  <c r="Q19" i="1"/>
  <c r="M19" i="1"/>
  <c r="M13" i="1"/>
  <c r="N13" i="1"/>
  <c r="F38" i="1"/>
  <c r="H38" i="1" s="1"/>
  <c r="M12" i="1"/>
  <c r="L12" i="1"/>
  <c r="H37" i="1"/>
  <c r="G37" i="1"/>
  <c r="M11" i="1"/>
  <c r="L11" i="1"/>
  <c r="M10" i="1"/>
  <c r="L10" i="1"/>
  <c r="F35" i="1"/>
  <c r="H35" i="1" s="1"/>
  <c r="M9" i="1"/>
  <c r="L9" i="1"/>
  <c r="M8" i="1"/>
  <c r="L8" i="1"/>
  <c r="F33" i="1"/>
  <c r="H33" i="1" s="1"/>
  <c r="M7" i="1"/>
  <c r="L7" i="1"/>
  <c r="N11" i="1" l="1"/>
  <c r="P13" i="1"/>
  <c r="N22" i="1"/>
  <c r="N7" i="1"/>
  <c r="O7" i="1" s="1"/>
  <c r="G33" i="1"/>
  <c r="N9" i="1"/>
  <c r="O9" i="1" s="1"/>
  <c r="G35" i="1"/>
  <c r="N20" i="1"/>
  <c r="F41" i="1"/>
  <c r="P23" i="1"/>
  <c r="R23" i="1" s="1"/>
  <c r="S23" i="1" s="1"/>
  <c r="N8" i="1"/>
  <c r="N10" i="1"/>
  <c r="N12" i="1"/>
  <c r="O12" i="1" s="1"/>
  <c r="N19" i="1"/>
  <c r="N21" i="1"/>
  <c r="P21" i="1" s="1"/>
  <c r="R21" i="1" s="1"/>
  <c r="S21" i="1" s="1"/>
  <c r="P24" i="1"/>
  <c r="R24" i="1" s="1"/>
  <c r="S24" i="1" s="1"/>
  <c r="G38" i="1"/>
  <c r="G40" i="1"/>
  <c r="P11" i="1" l="1"/>
  <c r="P9" i="1"/>
  <c r="P22" i="1"/>
  <c r="R22" i="1" s="1"/>
  <c r="S22" i="1" s="1"/>
  <c r="P7" i="1"/>
  <c r="P20" i="1"/>
  <c r="R20" i="1" s="1"/>
  <c r="S20" i="1" s="1"/>
  <c r="G41" i="1"/>
  <c r="H41" i="1"/>
  <c r="O26" i="1"/>
  <c r="P12" i="1"/>
  <c r="P19" i="1"/>
  <c r="R19" i="1" s="1"/>
  <c r="S19" i="1" s="1"/>
  <c r="P10" i="1"/>
  <c r="P8" i="1"/>
  <c r="B5" i="1" l="1"/>
  <c r="D8" i="1" l="1"/>
  <c r="F27" i="1"/>
  <c r="D13" i="1"/>
  <c r="Q13" i="1" s="1"/>
  <c r="D15" i="1"/>
  <c r="D14" i="1"/>
  <c r="D11" i="1"/>
  <c r="D9" i="1"/>
  <c r="B36" i="1" s="1"/>
  <c r="D7" i="1"/>
  <c r="D12" i="1"/>
  <c r="D10" i="1"/>
  <c r="F34" i="1"/>
  <c r="F36" i="1"/>
  <c r="B42" i="1"/>
  <c r="B41" i="1"/>
  <c r="B40" i="1"/>
  <c r="F39" i="1"/>
  <c r="H27" i="1" l="1"/>
  <c r="C34" i="1"/>
  <c r="D34" i="1"/>
  <c r="B35" i="1"/>
  <c r="C35" i="1" s="1"/>
  <c r="B38" i="1"/>
  <c r="D38" i="1" s="1"/>
  <c r="B37" i="1"/>
  <c r="C37" i="1" s="1"/>
  <c r="B39" i="1"/>
  <c r="C39" i="1" s="1"/>
  <c r="Q15" i="1"/>
  <c r="R15" i="1" s="1"/>
  <c r="S15" i="1" s="1"/>
  <c r="F15" i="1"/>
  <c r="Q14" i="1"/>
  <c r="R14" i="1" s="1"/>
  <c r="S14" i="1" s="1"/>
  <c r="F14" i="1"/>
  <c r="F10" i="1"/>
  <c r="Q10" i="1"/>
  <c r="R10" i="1" s="1"/>
  <c r="S10" i="1" s="1"/>
  <c r="F7" i="1"/>
  <c r="B33" i="1"/>
  <c r="Q7" i="1"/>
  <c r="R7" i="1" s="1"/>
  <c r="S7" i="1" s="1"/>
  <c r="F11" i="1"/>
  <c r="Q11" i="1"/>
  <c r="R11" i="1" s="1"/>
  <c r="S11" i="1" s="1"/>
  <c r="F8" i="1"/>
  <c r="Q8" i="1"/>
  <c r="R8" i="1" s="1"/>
  <c r="S8" i="1" s="1"/>
  <c r="F12" i="1"/>
  <c r="Q12" i="1"/>
  <c r="R12" i="1" s="1"/>
  <c r="S12" i="1" s="1"/>
  <c r="F9" i="1"/>
  <c r="Q9" i="1"/>
  <c r="R9" i="1" s="1"/>
  <c r="S9" i="1" s="1"/>
  <c r="F13" i="1"/>
  <c r="R13" i="1"/>
  <c r="S13" i="1" s="1"/>
  <c r="C40" i="1"/>
  <c r="D40" i="1"/>
  <c r="D37" i="1"/>
  <c r="G39" i="1"/>
  <c r="H39" i="1"/>
  <c r="C41" i="1"/>
  <c r="D41" i="1"/>
  <c r="C36" i="1"/>
  <c r="D36" i="1"/>
  <c r="H36" i="1"/>
  <c r="G36" i="1"/>
  <c r="C42" i="1"/>
  <c r="D42" i="1"/>
  <c r="H34" i="1"/>
  <c r="G34" i="1"/>
  <c r="D35" i="1" l="1"/>
  <c r="C38" i="1"/>
  <c r="D39" i="1"/>
  <c r="D33" i="1"/>
  <c r="C33" i="1"/>
</calcChain>
</file>

<file path=xl/sharedStrings.xml><?xml version="1.0" encoding="utf-8"?>
<sst xmlns="http://schemas.openxmlformats.org/spreadsheetml/2006/main" count="137" uniqueCount="114">
  <si>
    <t>Capacity TPD</t>
  </si>
  <si>
    <t>Flow Rate M3/ hr</t>
  </si>
  <si>
    <t>VE-01</t>
  </si>
  <si>
    <t>Vessel Volume Cu M</t>
  </si>
  <si>
    <t>Length mm</t>
  </si>
  <si>
    <t>Diameter mm</t>
  </si>
  <si>
    <t>Diameter rounded mm</t>
  </si>
  <si>
    <t>VE-04</t>
  </si>
  <si>
    <t>VE-08</t>
  </si>
  <si>
    <t>VE-12</t>
  </si>
  <si>
    <t>Plate Thickness mm</t>
  </si>
  <si>
    <t>Shell Weight</t>
  </si>
  <si>
    <t>Vessel Price</t>
  </si>
  <si>
    <t>Top/Bot or Dishes Weight</t>
  </si>
  <si>
    <t>Total</t>
  </si>
  <si>
    <t>Continuous Plants</t>
  </si>
  <si>
    <t>Cooling Tower</t>
  </si>
  <si>
    <t>Bolier</t>
  </si>
  <si>
    <t>Kg/Hr</t>
  </si>
  <si>
    <t>LPM</t>
  </si>
  <si>
    <t>Fabrication Cost Rs./Kg for MS</t>
  </si>
  <si>
    <t>Pump Number</t>
  </si>
  <si>
    <t>P-13</t>
  </si>
  <si>
    <t>VE-02</t>
  </si>
  <si>
    <t>VE-06</t>
  </si>
  <si>
    <t>VE-10</t>
  </si>
  <si>
    <t>VE-14</t>
  </si>
  <si>
    <t>VE-15</t>
  </si>
  <si>
    <t>VE-18</t>
  </si>
  <si>
    <t>P-03</t>
  </si>
  <si>
    <t>P-07</t>
  </si>
  <si>
    <t>P-09</t>
  </si>
  <si>
    <t>P-17</t>
  </si>
  <si>
    <t>P-19</t>
  </si>
  <si>
    <t>Vessel Volume Liters</t>
  </si>
  <si>
    <t>Capacity</t>
  </si>
  <si>
    <t>Lit/day</t>
  </si>
  <si>
    <t>Pump Capacity Lit/hr</t>
  </si>
  <si>
    <t>KCAL/Hr</t>
  </si>
  <si>
    <t>Hot Oil Unit</t>
  </si>
  <si>
    <t>Pump</t>
  </si>
  <si>
    <t>Suction Dia</t>
  </si>
  <si>
    <t>Discharge Dia</t>
  </si>
  <si>
    <t>pt-19</t>
  </si>
  <si>
    <t>pt-28</t>
  </si>
  <si>
    <t>Weight of Vessel Kg</t>
  </si>
  <si>
    <t>Total Load of Vessel Kg</t>
  </si>
  <si>
    <t>Wt of Contents Kgs</t>
  </si>
  <si>
    <t>Total Dynamic Load Kg</t>
  </si>
  <si>
    <t>p-03</t>
  </si>
  <si>
    <t>VE-07</t>
  </si>
  <si>
    <t>VE-09</t>
  </si>
  <si>
    <t>VE-13</t>
  </si>
  <si>
    <t>VE-24</t>
  </si>
  <si>
    <t>VE-27</t>
  </si>
  <si>
    <t>BT-11/12</t>
  </si>
  <si>
    <t>GT-14/15</t>
  </si>
  <si>
    <t>MT-20/22/23</t>
  </si>
  <si>
    <t>WT-27</t>
  </si>
  <si>
    <t>FT-18</t>
  </si>
  <si>
    <t>p-06</t>
  </si>
  <si>
    <t>p-08</t>
  </si>
  <si>
    <t>p-10</t>
  </si>
  <si>
    <t>p-15</t>
  </si>
  <si>
    <t>p-17</t>
  </si>
  <si>
    <t>p-19</t>
  </si>
  <si>
    <t>p-26</t>
  </si>
  <si>
    <t>p-29</t>
  </si>
  <si>
    <t>p-30</t>
  </si>
  <si>
    <t>pt-03/08</t>
  </si>
  <si>
    <t>pt-04/05/09/10</t>
  </si>
  <si>
    <t>pt-13</t>
  </si>
  <si>
    <t>pt-17</t>
  </si>
  <si>
    <t>pt-21/25/26</t>
  </si>
  <si>
    <t>pt-24</t>
  </si>
  <si>
    <t>Flow LPM</t>
  </si>
  <si>
    <t>pt-16</t>
  </si>
  <si>
    <t>Methanol Recovery</t>
  </si>
  <si>
    <t>Feed Stock Tank</t>
  </si>
  <si>
    <t>Catalyst Reactor</t>
  </si>
  <si>
    <t>BioDiesel Reactor</t>
  </si>
  <si>
    <t>BioDiesel Purification</t>
  </si>
  <si>
    <t>Glycerine Purification</t>
  </si>
  <si>
    <t>OT-01/02</t>
  </si>
  <si>
    <t>Oil Stg Tank</t>
  </si>
  <si>
    <t>Biod Stg Tank</t>
  </si>
  <si>
    <t>Glyc Stg Tank</t>
  </si>
  <si>
    <t>Meth Stg Tank</t>
  </si>
  <si>
    <t>Wat Stg Tank</t>
  </si>
  <si>
    <t>Fuel Stg Tank</t>
  </si>
  <si>
    <t>Continuous</t>
  </si>
  <si>
    <t>Settling Tank</t>
  </si>
  <si>
    <t>Rounded Diameter mm</t>
  </si>
  <si>
    <t>Condensers</t>
  </si>
  <si>
    <t>Washing Columns</t>
  </si>
  <si>
    <t>C-02/25/28</t>
  </si>
  <si>
    <t>C-14</t>
  </si>
  <si>
    <t>Condenser</t>
  </si>
  <si>
    <t>VE-21</t>
  </si>
  <si>
    <t>VE-22</t>
  </si>
  <si>
    <t>VE-23</t>
  </si>
  <si>
    <t>WC-18</t>
  </si>
  <si>
    <t>125 NB</t>
  </si>
  <si>
    <t>LDO Lit/day</t>
  </si>
  <si>
    <t>Fabrication Cost Rs./Kg for SS316L</t>
  </si>
  <si>
    <t>Fabrication Cost Rs./Kg for Stg Tanks</t>
  </si>
  <si>
    <t>Shell / Jacket Weight</t>
  </si>
  <si>
    <t>Vessel No.</t>
  </si>
  <si>
    <t>Nozzles / Legs Weight</t>
  </si>
  <si>
    <t>Utilities</t>
  </si>
  <si>
    <t>Pumps</t>
  </si>
  <si>
    <t>Main Plant</t>
  </si>
  <si>
    <t>C-05/11/16</t>
  </si>
  <si>
    <t>Nozzles / Legs 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</si>
</sst>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Rs-420]* #,##0.00_-;_-[$Rs-420]* #,##0.00\-;_-[$Rs-420]* &quot;-&quot;??_-;_-@_-"/>
    <numFmt numFmtId="165" formatCode="_-[$Rs-420]* #,##0_-;_-[$Rs-420]* #,##0\-;_-[$Rs-420]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tabSelected="1" zoomScaleNormal="100" workbookViewId="0"/>
  </sheetViews>
  <sheetFormatPr defaultRowHeight="15" x14ac:dyDescent="0.25"/>
  <cols>
    <col min="1" max="1" width="12.85546875" customWidth="1"/>
    <col min="2" max="2" width="10.28515625" customWidth="1"/>
    <col min="3" max="3" width="16.7109375" customWidth="1"/>
    <col min="4" max="4" width="10.28515625" customWidth="1"/>
    <col min="5" max="5" width="10.5703125" customWidth="1"/>
    <col min="6" max="6" width="10.85546875" customWidth="1"/>
    <col min="7" max="7" width="9.5703125" customWidth="1"/>
    <col min="8" max="8" width="11.5703125" customWidth="1"/>
    <col min="9" max="9" width="5.28515625" customWidth="1"/>
    <col min="10" max="10" width="5.42578125" customWidth="1"/>
    <col min="11" max="11" width="5" customWidth="1"/>
    <col min="12" max="12" width="10.42578125" customWidth="1"/>
    <col min="13" max="13" width="10.7109375" customWidth="1"/>
    <col min="14" max="14" width="9.28515625" customWidth="1"/>
    <col min="15" max="15" width="14.85546875" customWidth="1"/>
    <col min="16" max="16" width="12.140625" customWidth="1"/>
    <col min="17" max="17" width="8.7109375" customWidth="1"/>
    <col min="18" max="18" width="11.28515625" customWidth="1"/>
    <col min="19" max="19" width="11" customWidth="1"/>
    <col min="20" max="20" width="14.140625" customWidth="1"/>
    <col min="21" max="21" width="8.28515625" customWidth="1"/>
    <col min="22" max="22" width="10" customWidth="1"/>
    <col min="23" max="23" width="9.5703125" customWidth="1"/>
    <col min="24" max="24" width="14.7109375" customWidth="1"/>
    <col min="26" max="26" width="10.140625" customWidth="1"/>
    <col min="27" max="27" width="11.7109375" customWidth="1"/>
    <col min="30" max="30" width="12.7109375" customWidth="1"/>
  </cols>
  <sheetData>
    <row r="1" spans="1:31" ht="60" x14ac:dyDescent="0.25">
      <c r="A1" s="2"/>
      <c r="C1" t="s">
        <v>15</v>
      </c>
      <c r="D1" s="23" t="s">
        <v>104</v>
      </c>
      <c r="E1" s="23" t="s">
        <v>20</v>
      </c>
      <c r="F1" s="23" t="s">
        <v>105</v>
      </c>
      <c r="T1" s="26"/>
      <c r="U1" s="26"/>
      <c r="V1" s="26"/>
      <c r="W1" s="26"/>
      <c r="X1" s="26"/>
      <c r="Y1" s="26"/>
      <c r="Z1" s="26"/>
      <c r="AA1" s="26"/>
    </row>
    <row r="2" spans="1:31" x14ac:dyDescent="0.25">
      <c r="A2" s="24"/>
      <c r="B2" s="24"/>
      <c r="D2">
        <v>500</v>
      </c>
      <c r="E2">
        <v>200</v>
      </c>
      <c r="F2">
        <v>100</v>
      </c>
      <c r="T2" s="26"/>
      <c r="U2" s="26"/>
      <c r="V2" s="26"/>
      <c r="W2" s="26"/>
      <c r="X2" s="26"/>
      <c r="Y2" s="26"/>
      <c r="Z2" s="26"/>
      <c r="AA2" s="26"/>
    </row>
    <row r="3" spans="1:31" x14ac:dyDescent="0.25">
      <c r="A3" s="2" t="s">
        <v>0</v>
      </c>
      <c r="O3" s="7"/>
      <c r="P3" s="7"/>
      <c r="Q3" s="7"/>
      <c r="R3" s="7"/>
      <c r="S3" s="7"/>
    </row>
    <row r="4" spans="1:31" ht="30" x14ac:dyDescent="0.25">
      <c r="A4">
        <v>10</v>
      </c>
      <c r="B4" s="2" t="s">
        <v>1</v>
      </c>
    </row>
    <row r="5" spans="1:31" x14ac:dyDescent="0.25">
      <c r="A5" s="13"/>
      <c r="B5" s="1">
        <f>A4/20</f>
        <v>0.5</v>
      </c>
      <c r="C5" t="s">
        <v>90</v>
      </c>
    </row>
    <row r="6" spans="1:31" ht="45" x14ac:dyDescent="0.25">
      <c r="B6" s="13"/>
      <c r="C6" s="13"/>
      <c r="D6" s="13" t="s">
        <v>3</v>
      </c>
      <c r="E6" s="13" t="s">
        <v>4</v>
      </c>
      <c r="F6" s="16" t="s">
        <v>5</v>
      </c>
      <c r="G6" s="16" t="s">
        <v>92</v>
      </c>
      <c r="H6" s="29" t="s">
        <v>10</v>
      </c>
      <c r="I6" s="29"/>
      <c r="J6" s="29"/>
      <c r="K6" s="29"/>
      <c r="L6" s="13" t="s">
        <v>11</v>
      </c>
      <c r="M6" s="13" t="s">
        <v>13</v>
      </c>
      <c r="N6" s="13" t="s">
        <v>108</v>
      </c>
      <c r="O6" s="6" t="s">
        <v>12</v>
      </c>
      <c r="P6" s="13" t="s">
        <v>45</v>
      </c>
      <c r="Q6" s="13" t="s">
        <v>47</v>
      </c>
      <c r="R6" s="13" t="s">
        <v>46</v>
      </c>
      <c r="S6" s="13" t="s">
        <v>48</v>
      </c>
      <c r="AB6" s="13"/>
      <c r="AC6" s="13"/>
      <c r="AD6" s="13"/>
      <c r="AE6" s="13"/>
    </row>
    <row r="7" spans="1:31" x14ac:dyDescent="0.25">
      <c r="A7" s="3" t="s">
        <v>50</v>
      </c>
      <c r="B7" t="s">
        <v>77</v>
      </c>
      <c r="D7">
        <f>B5*0.3</f>
        <v>0.15</v>
      </c>
      <c r="E7">
        <v>1200</v>
      </c>
      <c r="F7" s="4">
        <f>SQRT(D7*4*1000/E7/3.14159)*1000</f>
        <v>398.94244888760369</v>
      </c>
      <c r="G7" s="4">
        <v>400</v>
      </c>
      <c r="H7" s="4">
        <v>6</v>
      </c>
      <c r="I7" s="4"/>
      <c r="J7" s="4"/>
      <c r="L7" s="5">
        <f>3.14159*G7*E7*H7*7.85/1000000</f>
        <v>71.025066719999984</v>
      </c>
      <c r="M7" s="5">
        <f>G7*G7*1.22*1.22*H7*7.85*2/1000000</f>
        <v>22.4331648</v>
      </c>
      <c r="N7" s="5">
        <f t="shared" ref="N7:N13" si="0">(K7+L7)*0.05</f>
        <v>3.5512533359999994</v>
      </c>
      <c r="O7" s="7">
        <f>SUM(L7, M7,N7)*E2</f>
        <v>19401.896971199996</v>
      </c>
      <c r="P7" s="5">
        <f t="shared" ref="P7:P24" si="1">L7+M7+N7</f>
        <v>97.009484855999986</v>
      </c>
      <c r="Q7">
        <f t="shared" ref="Q7:Q12" si="2">D7*800</f>
        <v>120</v>
      </c>
      <c r="R7" s="15">
        <f t="shared" ref="R7:R24" si="3">P7+Q7</f>
        <v>217.00948485599997</v>
      </c>
      <c r="S7" s="15">
        <f>R7</f>
        <v>217.00948485599997</v>
      </c>
      <c r="AB7" s="5"/>
      <c r="AD7" s="5"/>
    </row>
    <row r="8" spans="1:31" x14ac:dyDescent="0.25">
      <c r="A8" t="s">
        <v>51</v>
      </c>
      <c r="B8" t="s">
        <v>78</v>
      </c>
      <c r="D8">
        <f>B5*1.2*3</f>
        <v>1.7999999999999998</v>
      </c>
      <c r="E8">
        <v>1200</v>
      </c>
      <c r="F8" s="4">
        <f t="shared" ref="F8:F24" si="4">SQRT(D8*4*1000/E8/3.14159)*1000</f>
        <v>1381.9771815385589</v>
      </c>
      <c r="G8" s="4">
        <v>800</v>
      </c>
      <c r="H8" s="4">
        <v>4</v>
      </c>
      <c r="I8" s="4"/>
      <c r="J8" s="4"/>
      <c r="L8" s="5">
        <f>3.14159*G8*E8*H8*8.15/1000000</f>
        <v>98.319200640000005</v>
      </c>
      <c r="M8" s="5">
        <f>G8*G8*1.22*1.22*H8*8.15*2/1000000</f>
        <v>62.107955200000006</v>
      </c>
      <c r="N8" s="5">
        <f t="shared" si="0"/>
        <v>4.915960032000001</v>
      </c>
      <c r="O8" s="7">
        <f>SUM(L8, M8,N8)*E2*2*1.4</f>
        <v>92592.144888319977</v>
      </c>
      <c r="P8" s="5">
        <f t="shared" si="1"/>
        <v>165.343115872</v>
      </c>
      <c r="Q8">
        <f t="shared" si="2"/>
        <v>1439.9999999999998</v>
      </c>
      <c r="R8" s="15">
        <f t="shared" si="3"/>
        <v>1605.3431158719998</v>
      </c>
      <c r="S8" s="15">
        <f>R8</f>
        <v>1605.3431158719998</v>
      </c>
      <c r="AB8" s="5"/>
      <c r="AD8" s="5"/>
    </row>
    <row r="9" spans="1:31" x14ac:dyDescent="0.25">
      <c r="A9" t="s">
        <v>52</v>
      </c>
      <c r="B9" t="s">
        <v>79</v>
      </c>
      <c r="D9">
        <f>B5*0.3</f>
        <v>0.15</v>
      </c>
      <c r="E9">
        <v>600</v>
      </c>
      <c r="F9" s="4">
        <f t="shared" si="4"/>
        <v>564.1898218231845</v>
      </c>
      <c r="G9" s="4">
        <v>550</v>
      </c>
      <c r="H9" s="4">
        <v>3</v>
      </c>
      <c r="I9" s="4"/>
      <c r="J9" s="4"/>
      <c r="L9" s="5">
        <f>3.14159*G9*E9*H9*8.15/1000000</f>
        <v>25.347918914999997</v>
      </c>
      <c r="M9" s="5">
        <f>G9*G9*1.22*1.22*H9*8.15*2/1000000</f>
        <v>22.016784900000001</v>
      </c>
      <c r="N9" s="5">
        <f t="shared" si="0"/>
        <v>1.2673959457499999</v>
      </c>
      <c r="O9" s="7">
        <f>SUM(L9, M9,N9)*D2*2</f>
        <v>48632.099760750003</v>
      </c>
      <c r="P9" s="5">
        <f t="shared" si="1"/>
        <v>48.632099760750002</v>
      </c>
      <c r="Q9">
        <f t="shared" si="2"/>
        <v>120</v>
      </c>
      <c r="R9" s="15">
        <f t="shared" si="3"/>
        <v>168.63209976075001</v>
      </c>
      <c r="S9" s="15">
        <f>R9</f>
        <v>168.63209976075001</v>
      </c>
      <c r="AB9" s="5"/>
      <c r="AD9" s="5"/>
    </row>
    <row r="10" spans="1:31" x14ac:dyDescent="0.25">
      <c r="A10" t="s">
        <v>53</v>
      </c>
      <c r="B10" t="s">
        <v>80</v>
      </c>
      <c r="D10">
        <f>B5*4</f>
        <v>2</v>
      </c>
      <c r="E10">
        <v>1200</v>
      </c>
      <c r="F10" s="4">
        <f t="shared" si="4"/>
        <v>1456.7318560139486</v>
      </c>
      <c r="G10" s="4">
        <v>1500</v>
      </c>
      <c r="H10" s="4">
        <v>6</v>
      </c>
      <c r="I10" s="4"/>
      <c r="J10" s="4"/>
      <c r="L10" s="5">
        <f>3.14159*G10*E10*H10*8.15/1000000</f>
        <v>276.52275180000004</v>
      </c>
      <c r="M10" s="5">
        <f>G10*G10*1.22*1.22*H10*8.15*2/1000000</f>
        <v>327.52242000000001</v>
      </c>
      <c r="N10" s="5">
        <f t="shared" si="0"/>
        <v>13.826137590000002</v>
      </c>
      <c r="O10" s="7">
        <f>SUM(L10, M10,N10)*D2*2</f>
        <v>617871.30939000007</v>
      </c>
      <c r="P10" s="5">
        <f t="shared" si="1"/>
        <v>617.87130939000008</v>
      </c>
      <c r="Q10">
        <f t="shared" si="2"/>
        <v>1600</v>
      </c>
      <c r="R10" s="15">
        <f t="shared" si="3"/>
        <v>2217.8713093900001</v>
      </c>
      <c r="S10" s="15">
        <f t="shared" ref="S10" si="5">R10*1.2</f>
        <v>2661.4455712680001</v>
      </c>
      <c r="AB10" s="5"/>
      <c r="AD10" s="5"/>
    </row>
    <row r="11" spans="1:31" x14ac:dyDescent="0.25">
      <c r="A11" t="s">
        <v>54</v>
      </c>
      <c r="B11" t="s">
        <v>81</v>
      </c>
      <c r="D11">
        <f>B5</f>
        <v>0.5</v>
      </c>
      <c r="E11">
        <v>1200</v>
      </c>
      <c r="F11" s="4">
        <f t="shared" si="4"/>
        <v>728.36592800697429</v>
      </c>
      <c r="G11" s="4">
        <v>800</v>
      </c>
      <c r="H11" s="4">
        <v>6</v>
      </c>
      <c r="I11" s="4"/>
      <c r="J11" s="4"/>
      <c r="L11" s="5">
        <f>3.14159*G11*E11*H11*7.85/1000000</f>
        <v>142.05013343999997</v>
      </c>
      <c r="M11" s="5">
        <f>G11*G11*1.22*1.22*H11*7.85*2/1000000</f>
        <v>89.732659200000001</v>
      </c>
      <c r="N11" s="5">
        <f t="shared" si="0"/>
        <v>7.1025066719999987</v>
      </c>
      <c r="O11" s="7">
        <f>(L11+M11+N11)*E2*1.2</f>
        <v>57332.471834879994</v>
      </c>
      <c r="P11" s="5">
        <f t="shared" si="1"/>
        <v>238.88529931199997</v>
      </c>
      <c r="Q11">
        <f t="shared" si="2"/>
        <v>400</v>
      </c>
      <c r="R11" s="15">
        <f t="shared" si="3"/>
        <v>638.88529931199992</v>
      </c>
      <c r="S11" s="15">
        <f>R11</f>
        <v>638.88529931199992</v>
      </c>
      <c r="AB11" s="5"/>
      <c r="AD11" s="5"/>
    </row>
    <row r="12" spans="1:31" x14ac:dyDescent="0.25">
      <c r="A12" t="s">
        <v>98</v>
      </c>
      <c r="B12" t="s">
        <v>82</v>
      </c>
      <c r="D12">
        <f>B5*0.2</f>
        <v>0.1</v>
      </c>
      <c r="E12">
        <v>1200</v>
      </c>
      <c r="F12" s="4">
        <f t="shared" si="4"/>
        <v>325.73514550366252</v>
      </c>
      <c r="G12" s="4">
        <v>350</v>
      </c>
      <c r="H12" s="4">
        <v>6</v>
      </c>
      <c r="I12" s="4"/>
      <c r="J12" s="4"/>
      <c r="L12" s="5">
        <f>3.14159*G12*E12*H12*7.85/1000000</f>
        <v>62.146933379999986</v>
      </c>
      <c r="M12" s="5">
        <f>G12*G12*1.22*1.22*H12*7.85*2/1000000</f>
        <v>17.1753918</v>
      </c>
      <c r="N12" s="5">
        <f t="shared" si="0"/>
        <v>3.1073466689999996</v>
      </c>
      <c r="O12" s="7">
        <f>(L12+M12+N12)*E2</f>
        <v>16485.934369799994</v>
      </c>
      <c r="P12" s="5">
        <f t="shared" si="1"/>
        <v>82.429671848999973</v>
      </c>
      <c r="Q12">
        <f t="shared" si="2"/>
        <v>80</v>
      </c>
      <c r="R12" s="15">
        <f t="shared" si="3"/>
        <v>162.42967184899999</v>
      </c>
      <c r="S12" s="15">
        <f>R12</f>
        <v>162.42967184899999</v>
      </c>
      <c r="AB12" s="5"/>
      <c r="AD12" s="5"/>
    </row>
    <row r="13" spans="1:31" x14ac:dyDescent="0.25">
      <c r="A13" t="s">
        <v>99</v>
      </c>
      <c r="B13" t="s">
        <v>91</v>
      </c>
      <c r="D13">
        <f>B5*5.5</f>
        <v>2.75</v>
      </c>
      <c r="E13">
        <v>2400</v>
      </c>
      <c r="F13" s="4">
        <f>SQRT(D13*4*1000/E13/3/3.14159)*1000</f>
        <v>697.35728383997855</v>
      </c>
      <c r="G13" s="4">
        <v>700</v>
      </c>
      <c r="H13" s="4">
        <v>6</v>
      </c>
      <c r="I13" s="4">
        <v>5</v>
      </c>
      <c r="J13" s="4"/>
      <c r="L13" s="5">
        <f>3.14159*G13*E13*(H13+I13+J13)*7.85/3000000</f>
        <v>151.91472603999995</v>
      </c>
      <c r="M13" s="5">
        <f>G13*G13*1.22*1.22*H13*7.85*2/1000000</f>
        <v>68.7015672</v>
      </c>
      <c r="N13" s="5">
        <f t="shared" si="0"/>
        <v>7.5957363019999979</v>
      </c>
      <c r="O13" s="7">
        <f>(L13+M13+N13)*E2*1.5</f>
        <v>68463.608862599984</v>
      </c>
      <c r="P13" s="5">
        <f>L13+M13+N13</f>
        <v>228.21202954199995</v>
      </c>
      <c r="Q13" s="15">
        <f>D13*800</f>
        <v>2200</v>
      </c>
      <c r="R13" s="15">
        <f t="shared" si="3"/>
        <v>2428.212029542</v>
      </c>
      <c r="S13" s="15">
        <f t="shared" ref="S13:S24" si="6">R13</f>
        <v>2428.212029542</v>
      </c>
      <c r="AB13" s="5"/>
      <c r="AD13" s="5"/>
    </row>
    <row r="14" spans="1:31" x14ac:dyDescent="0.25">
      <c r="A14" t="s">
        <v>100</v>
      </c>
      <c r="B14" t="s">
        <v>91</v>
      </c>
      <c r="D14">
        <f>B5*5</f>
        <v>2.5</v>
      </c>
      <c r="E14">
        <v>2300</v>
      </c>
      <c r="F14" s="4">
        <f t="shared" ref="F14:F15" si="7">SQRT(D14*4*1000/E14/3/3.14159)*1000</f>
        <v>679.20473002492179</v>
      </c>
      <c r="G14" s="4">
        <v>700</v>
      </c>
      <c r="H14" s="4">
        <v>6</v>
      </c>
      <c r="I14" s="4">
        <v>5</v>
      </c>
      <c r="J14" s="4"/>
      <c r="L14" s="5">
        <f t="shared" ref="L14:L15" si="8">3.14159*G14*E14*(H14+I14+J14)*7.85/3000000</f>
        <v>145.5849457883333</v>
      </c>
      <c r="M14" s="5">
        <f t="shared" ref="M14:M15" si="9">G14*G14*1.22*1.22*H14*7.85*2/1000000</f>
        <v>68.7015672</v>
      </c>
      <c r="N14" s="5">
        <f t="shared" ref="N14:N15" si="10">(K14+L14)*0.05</f>
        <v>7.2792472894166655</v>
      </c>
      <c r="O14" s="7">
        <f>(L14+M14+N14)*E2*1.5</f>
        <v>66469.728083324997</v>
      </c>
      <c r="P14" s="5">
        <f t="shared" ref="P14:P15" si="11">L14+M14+N14</f>
        <v>221.56576027774997</v>
      </c>
      <c r="Q14" s="15">
        <f>D14*800</f>
        <v>2000</v>
      </c>
      <c r="R14" s="15">
        <f t="shared" ref="R14:R15" si="12">P14+Q14</f>
        <v>2221.5657602777501</v>
      </c>
      <c r="S14" s="15">
        <f t="shared" ref="S14:S15" si="13">R14</f>
        <v>2221.5657602777501</v>
      </c>
      <c r="T14" s="20"/>
      <c r="U14" s="20"/>
      <c r="V14" s="5"/>
      <c r="W14" s="5"/>
      <c r="X14" s="20"/>
      <c r="Y14" s="20"/>
      <c r="Z14" s="5"/>
      <c r="AA14" s="5"/>
      <c r="AB14" s="5"/>
      <c r="AD14" s="5"/>
    </row>
    <row r="15" spans="1:31" x14ac:dyDescent="0.25">
      <c r="A15" t="s">
        <v>53</v>
      </c>
      <c r="B15" t="s">
        <v>91</v>
      </c>
      <c r="D15">
        <f>B5*4.5</f>
        <v>2.25</v>
      </c>
      <c r="E15">
        <v>2200</v>
      </c>
      <c r="F15" s="4">
        <f t="shared" si="7"/>
        <v>658.83177089404023</v>
      </c>
      <c r="G15" s="4">
        <v>700</v>
      </c>
      <c r="H15" s="4">
        <v>6</v>
      </c>
      <c r="I15" s="4">
        <v>5</v>
      </c>
      <c r="J15" s="4"/>
      <c r="L15" s="5">
        <f t="shared" si="8"/>
        <v>139.25516553666665</v>
      </c>
      <c r="M15" s="5">
        <f t="shared" si="9"/>
        <v>68.7015672</v>
      </c>
      <c r="N15" s="5">
        <f t="shared" si="10"/>
        <v>6.9627582768333331</v>
      </c>
      <c r="O15" s="7">
        <f>(L15+M15+N15)*E2*1.5</f>
        <v>64475.847304050003</v>
      </c>
      <c r="P15" s="5">
        <f t="shared" si="11"/>
        <v>214.91949101349999</v>
      </c>
      <c r="Q15" s="15">
        <f>D15*800</f>
        <v>1800</v>
      </c>
      <c r="R15" s="15">
        <f t="shared" si="12"/>
        <v>2014.9194910135</v>
      </c>
      <c r="S15" s="15">
        <f t="shared" si="13"/>
        <v>2014.9194910135</v>
      </c>
      <c r="T15" s="20"/>
      <c r="U15" s="20"/>
      <c r="V15" s="5"/>
      <c r="W15" s="5"/>
      <c r="X15" s="20"/>
      <c r="Y15" s="20"/>
      <c r="Z15" s="5"/>
      <c r="AA15" s="5"/>
      <c r="AB15" s="5"/>
      <c r="AD15" s="5"/>
    </row>
    <row r="16" spans="1:31" x14ac:dyDescent="0.25">
      <c r="A16" t="s">
        <v>95</v>
      </c>
      <c r="B16" t="s">
        <v>93</v>
      </c>
      <c r="E16">
        <v>1000</v>
      </c>
      <c r="F16" s="4"/>
      <c r="G16" s="15" t="s">
        <v>102</v>
      </c>
      <c r="H16" s="4"/>
      <c r="I16" s="4"/>
      <c r="J16" s="4"/>
      <c r="L16" s="5"/>
      <c r="M16" s="5"/>
      <c r="N16" s="5"/>
      <c r="O16" s="7">
        <v>500000</v>
      </c>
      <c r="P16" s="5"/>
      <c r="R16" s="15"/>
      <c r="S16" s="15">
        <v>150</v>
      </c>
      <c r="T16" s="17"/>
      <c r="U16" s="17"/>
      <c r="V16" s="5"/>
      <c r="W16" s="5"/>
      <c r="X16" s="17"/>
      <c r="Y16" s="17"/>
      <c r="Z16" s="5"/>
      <c r="AA16" s="5"/>
      <c r="AB16" s="5"/>
      <c r="AD16" s="5"/>
    </row>
    <row r="17" spans="1:30" x14ac:dyDescent="0.25">
      <c r="A17" t="s">
        <v>96</v>
      </c>
      <c r="B17" t="s">
        <v>97</v>
      </c>
      <c r="E17">
        <v>1500</v>
      </c>
      <c r="F17" s="4"/>
      <c r="G17" s="15" t="s">
        <v>102</v>
      </c>
      <c r="H17" s="4"/>
      <c r="I17" s="4"/>
      <c r="J17" s="4"/>
      <c r="L17" s="5"/>
      <c r="M17" s="5"/>
      <c r="N17" s="5"/>
      <c r="O17" s="7">
        <v>75000</v>
      </c>
      <c r="P17" s="5"/>
      <c r="R17" s="15"/>
      <c r="S17" s="15">
        <v>200</v>
      </c>
      <c r="T17" s="18"/>
      <c r="U17" s="18"/>
      <c r="V17" s="5"/>
      <c r="W17" s="5"/>
      <c r="X17" s="18"/>
      <c r="Y17" s="18"/>
      <c r="Z17" s="5"/>
      <c r="AA17" s="5"/>
      <c r="AB17" s="5"/>
      <c r="AD17" s="5"/>
    </row>
    <row r="18" spans="1:30" x14ac:dyDescent="0.25">
      <c r="A18" t="s">
        <v>101</v>
      </c>
      <c r="B18" t="s">
        <v>94</v>
      </c>
      <c r="E18">
        <v>2100</v>
      </c>
      <c r="F18" s="4"/>
      <c r="G18" s="4">
        <v>600</v>
      </c>
      <c r="H18" s="4">
        <v>3</v>
      </c>
      <c r="I18" s="4"/>
      <c r="J18" s="4"/>
      <c r="L18" s="5"/>
      <c r="M18" s="5"/>
      <c r="N18" s="5"/>
      <c r="O18" s="7">
        <v>50000</v>
      </c>
      <c r="P18" s="5"/>
      <c r="R18" s="15"/>
      <c r="S18" s="15">
        <v>300</v>
      </c>
      <c r="T18" s="17"/>
      <c r="U18" s="17"/>
      <c r="V18" s="5"/>
      <c r="W18" s="5"/>
      <c r="X18" s="17"/>
      <c r="Y18" s="17"/>
      <c r="Z18" s="5"/>
      <c r="AA18" s="5"/>
      <c r="AB18" s="5"/>
      <c r="AD18" s="5"/>
    </row>
    <row r="19" spans="1:30" x14ac:dyDescent="0.25">
      <c r="A19" t="s">
        <v>83</v>
      </c>
      <c r="B19" t="s">
        <v>84</v>
      </c>
      <c r="D19">
        <v>100</v>
      </c>
      <c r="E19">
        <v>4500</v>
      </c>
      <c r="F19" s="4">
        <f t="shared" si="4"/>
        <v>5319.2326518347154</v>
      </c>
      <c r="G19" s="4">
        <v>5500</v>
      </c>
      <c r="H19" s="4">
        <v>10</v>
      </c>
      <c r="I19" s="4">
        <v>8</v>
      </c>
      <c r="J19" s="4">
        <v>6</v>
      </c>
      <c r="K19" s="5"/>
      <c r="L19" s="5">
        <f t="shared" ref="L19:L20" si="14">3.14159*G19*E19*(H19+I19+J19)*7.85/3000000</f>
        <v>4882.9733370000004</v>
      </c>
      <c r="M19" s="5">
        <f t="shared" ref="M19:M24" si="15">G19*G19*1.22*1.22*H19*7.85*2/1000000</f>
        <v>7068.7837</v>
      </c>
      <c r="N19" s="5">
        <f t="shared" ref="N19:N24" si="16">(K19+L19)*0.05</f>
        <v>244.14866685000004</v>
      </c>
      <c r="O19" s="7">
        <f>SUM(L19, M19,N19)*F2*2*2</f>
        <v>4878362.2815399999</v>
      </c>
      <c r="P19" s="5">
        <f t="shared" si="1"/>
        <v>12195.90570385</v>
      </c>
      <c r="Q19">
        <f t="shared" ref="Q19:Q24" si="17">D19*800</f>
        <v>80000</v>
      </c>
      <c r="R19" s="15">
        <f t="shared" si="3"/>
        <v>92195.905703850003</v>
      </c>
      <c r="S19" s="15">
        <f t="shared" si="6"/>
        <v>92195.905703850003</v>
      </c>
      <c r="AB19" s="5"/>
      <c r="AD19" s="5"/>
    </row>
    <row r="20" spans="1:30" x14ac:dyDescent="0.25">
      <c r="A20" t="s">
        <v>55</v>
      </c>
      <c r="B20" t="s">
        <v>85</v>
      </c>
      <c r="D20">
        <v>100</v>
      </c>
      <c r="E20">
        <v>4500</v>
      </c>
      <c r="F20" s="4">
        <f t="shared" si="4"/>
        <v>5319.2326518347154</v>
      </c>
      <c r="G20" s="4">
        <v>5500</v>
      </c>
      <c r="H20" s="4">
        <v>10</v>
      </c>
      <c r="I20" s="4">
        <v>8</v>
      </c>
      <c r="J20" s="4">
        <v>6</v>
      </c>
      <c r="K20" s="5"/>
      <c r="L20" s="5">
        <f t="shared" si="14"/>
        <v>4882.9733370000004</v>
      </c>
      <c r="M20" s="5">
        <f t="shared" si="15"/>
        <v>7068.7837</v>
      </c>
      <c r="N20" s="5">
        <f t="shared" si="16"/>
        <v>244.14866685000004</v>
      </c>
      <c r="O20" s="7">
        <f>SUM(L20, M20,N20)*F2*2*2</f>
        <v>4878362.2815399999</v>
      </c>
      <c r="P20" s="5">
        <f t="shared" si="1"/>
        <v>12195.90570385</v>
      </c>
      <c r="Q20">
        <f t="shared" si="17"/>
        <v>80000</v>
      </c>
      <c r="R20" s="15">
        <f t="shared" si="3"/>
        <v>92195.905703850003</v>
      </c>
      <c r="S20" s="15">
        <f t="shared" si="6"/>
        <v>92195.905703850003</v>
      </c>
      <c r="AB20" s="5"/>
      <c r="AD20" s="5"/>
    </row>
    <row r="21" spans="1:30" x14ac:dyDescent="0.25">
      <c r="A21" t="s">
        <v>56</v>
      </c>
      <c r="B21" t="s">
        <v>86</v>
      </c>
      <c r="D21">
        <v>20</v>
      </c>
      <c r="E21">
        <v>3600</v>
      </c>
      <c r="F21" s="4">
        <f t="shared" si="4"/>
        <v>2659.6163259173577</v>
      </c>
      <c r="G21" s="4">
        <v>2500</v>
      </c>
      <c r="H21" s="4">
        <v>8</v>
      </c>
      <c r="I21" s="4">
        <v>6</v>
      </c>
      <c r="J21" s="4">
        <v>5</v>
      </c>
      <c r="K21" s="5"/>
      <c r="L21" s="5">
        <f>3.14159*G21*E21*(H21+I21+J21)*7.85/3000000</f>
        <v>1405.7044454999998</v>
      </c>
      <c r="M21" s="5">
        <f t="shared" si="15"/>
        <v>1168.394</v>
      </c>
      <c r="N21" s="5">
        <f t="shared" si="16"/>
        <v>70.285222274999995</v>
      </c>
      <c r="O21" s="7">
        <f>SUM(L21, M21,N21)*F2*2*2</f>
        <v>1057753.4671099999</v>
      </c>
      <c r="P21" s="5">
        <f t="shared" si="1"/>
        <v>2644.3836677749996</v>
      </c>
      <c r="Q21">
        <f t="shared" si="17"/>
        <v>16000</v>
      </c>
      <c r="R21" s="15">
        <f t="shared" si="3"/>
        <v>18644.383667775001</v>
      </c>
      <c r="S21" s="15">
        <f t="shared" si="6"/>
        <v>18644.383667775001</v>
      </c>
      <c r="AB21" s="5"/>
      <c r="AD21" s="5"/>
    </row>
    <row r="22" spans="1:30" x14ac:dyDescent="0.25">
      <c r="A22" t="s">
        <v>57</v>
      </c>
      <c r="B22" t="s">
        <v>87</v>
      </c>
      <c r="D22">
        <v>20</v>
      </c>
      <c r="E22">
        <v>3600</v>
      </c>
      <c r="F22" s="4">
        <f t="shared" si="4"/>
        <v>2659.6163259173577</v>
      </c>
      <c r="G22" s="4">
        <v>2500</v>
      </c>
      <c r="H22" s="4">
        <v>6</v>
      </c>
      <c r="I22" s="4"/>
      <c r="J22" s="4"/>
      <c r="K22" s="5"/>
      <c r="L22" s="5">
        <f t="shared" ref="L22:L24" si="18">3.14159*G22*E22*(H22+I22+J22)*7.85/3000000</f>
        <v>443.90666699999991</v>
      </c>
      <c r="M22" s="5">
        <f t="shared" si="15"/>
        <v>876.29549999999995</v>
      </c>
      <c r="N22" s="5">
        <f t="shared" si="16"/>
        <v>22.195333349999999</v>
      </c>
      <c r="O22" s="7">
        <f>SUM(L22, M22,N22)*F2*3*2</f>
        <v>805438.50020999997</v>
      </c>
      <c r="P22" s="5">
        <f t="shared" si="1"/>
        <v>1342.39750035</v>
      </c>
      <c r="Q22">
        <f t="shared" si="17"/>
        <v>16000</v>
      </c>
      <c r="R22" s="15">
        <f t="shared" si="3"/>
        <v>17342.397500350002</v>
      </c>
      <c r="S22" s="15">
        <f t="shared" si="6"/>
        <v>17342.397500350002</v>
      </c>
      <c r="T22" s="14"/>
      <c r="U22" s="14"/>
      <c r="V22" s="5"/>
      <c r="W22" s="5"/>
      <c r="X22" s="14"/>
      <c r="Y22" s="14"/>
      <c r="Z22" s="5"/>
      <c r="AA22" s="5"/>
      <c r="AB22" s="5"/>
      <c r="AD22" s="5"/>
    </row>
    <row r="23" spans="1:30" x14ac:dyDescent="0.25">
      <c r="A23" t="s">
        <v>58</v>
      </c>
      <c r="B23" t="s">
        <v>88</v>
      </c>
      <c r="D23">
        <v>20</v>
      </c>
      <c r="E23">
        <v>3600</v>
      </c>
      <c r="F23" s="4">
        <f t="shared" si="4"/>
        <v>2659.6163259173577</v>
      </c>
      <c r="G23" s="4">
        <v>2500</v>
      </c>
      <c r="H23" s="4">
        <v>8</v>
      </c>
      <c r="I23" s="4">
        <v>6</v>
      </c>
      <c r="J23" s="4">
        <v>5</v>
      </c>
      <c r="K23" s="5"/>
      <c r="L23" s="5">
        <f t="shared" si="18"/>
        <v>1405.7044454999998</v>
      </c>
      <c r="M23" s="5">
        <f t="shared" si="15"/>
        <v>1168.394</v>
      </c>
      <c r="N23" s="5">
        <f t="shared" si="16"/>
        <v>70.285222274999995</v>
      </c>
      <c r="O23" s="7">
        <f>SUM(L23, M23,N23)*F2*2</f>
        <v>528876.73355499993</v>
      </c>
      <c r="P23" s="5">
        <f t="shared" si="1"/>
        <v>2644.3836677749996</v>
      </c>
      <c r="Q23">
        <f t="shared" si="17"/>
        <v>16000</v>
      </c>
      <c r="R23" s="15">
        <f t="shared" si="3"/>
        <v>18644.383667775001</v>
      </c>
      <c r="S23" s="15">
        <f t="shared" si="6"/>
        <v>18644.383667775001</v>
      </c>
      <c r="T23" s="14"/>
      <c r="U23" s="14"/>
      <c r="V23" s="5"/>
      <c r="W23" s="5"/>
      <c r="X23" s="14"/>
      <c r="Y23" s="14"/>
      <c r="Z23" s="5"/>
      <c r="AA23" s="5"/>
      <c r="AB23" s="5"/>
      <c r="AD23" s="5"/>
    </row>
    <row r="24" spans="1:30" x14ac:dyDescent="0.25">
      <c r="A24" t="s">
        <v>59</v>
      </c>
      <c r="B24" t="s">
        <v>89</v>
      </c>
      <c r="D24">
        <v>20</v>
      </c>
      <c r="E24">
        <v>3600</v>
      </c>
      <c r="F24" s="4">
        <f t="shared" si="4"/>
        <v>2659.6163259173577</v>
      </c>
      <c r="G24" s="4">
        <v>2500</v>
      </c>
      <c r="H24" s="4">
        <v>8</v>
      </c>
      <c r="I24" s="4">
        <v>6</v>
      </c>
      <c r="J24" s="4">
        <v>5</v>
      </c>
      <c r="K24" s="5"/>
      <c r="L24" s="5">
        <f t="shared" si="18"/>
        <v>1405.7044454999998</v>
      </c>
      <c r="M24" s="5">
        <f t="shared" si="15"/>
        <v>1168.394</v>
      </c>
      <c r="N24" s="5">
        <f t="shared" si="16"/>
        <v>70.285222274999995</v>
      </c>
      <c r="O24" s="7">
        <f>SUM(L24, M24,N24)*F2*2</f>
        <v>528876.73355499993</v>
      </c>
      <c r="P24" s="5">
        <f t="shared" si="1"/>
        <v>2644.3836677749996</v>
      </c>
      <c r="Q24">
        <f t="shared" si="17"/>
        <v>16000</v>
      </c>
      <c r="R24" s="15">
        <f t="shared" si="3"/>
        <v>18644.383667775001</v>
      </c>
      <c r="S24" s="15">
        <f t="shared" si="6"/>
        <v>18644.383667775001</v>
      </c>
      <c r="T24" s="14"/>
      <c r="U24" s="14"/>
      <c r="V24" s="5"/>
      <c r="W24" s="5"/>
      <c r="AB24" s="5"/>
      <c r="AD24" s="5"/>
    </row>
    <row r="25" spans="1:30" x14ac:dyDescent="0.25">
      <c r="F25" s="4"/>
      <c r="G25" s="4"/>
      <c r="H25" s="4"/>
      <c r="I25" s="4"/>
      <c r="J25" s="4"/>
      <c r="K25" s="5"/>
      <c r="L25" s="5"/>
      <c r="M25" s="5"/>
      <c r="N25" s="5"/>
      <c r="O25" s="7"/>
      <c r="P25" s="5"/>
      <c r="R25" s="15"/>
      <c r="S25" s="15"/>
      <c r="T25" s="22"/>
      <c r="U25" s="22"/>
      <c r="V25" s="5"/>
      <c r="W25" s="5"/>
      <c r="AB25" s="5"/>
      <c r="AD25" s="5"/>
    </row>
    <row r="26" spans="1:30" x14ac:dyDescent="0.25">
      <c r="A26" s="27" t="s">
        <v>109</v>
      </c>
      <c r="F26" s="4"/>
      <c r="H26" s="5"/>
      <c r="L26" s="5"/>
      <c r="M26" s="5"/>
      <c r="N26" t="s">
        <v>14</v>
      </c>
      <c r="O26" s="7">
        <f>SUM(O7:O24)</f>
        <v>14354395.038974926</v>
      </c>
      <c r="P26" s="5"/>
      <c r="R26" s="5"/>
      <c r="S26" s="15"/>
      <c r="V26" s="5"/>
      <c r="W26" s="5"/>
      <c r="Z26" s="5"/>
      <c r="AA26" s="5"/>
      <c r="AB26" s="5"/>
      <c r="AD26" s="5"/>
    </row>
    <row r="27" spans="1:30" x14ac:dyDescent="0.25">
      <c r="A27" t="s">
        <v>17</v>
      </c>
      <c r="E27" t="s">
        <v>18</v>
      </c>
      <c r="F27">
        <f>B5*40000/500*24</f>
        <v>960</v>
      </c>
      <c r="G27">
        <v>1000</v>
      </c>
      <c r="H27">
        <f>(D7+D8+D10+D11+D12+D13+D14+D15)*40000/500</f>
        <v>963.99999999999989</v>
      </c>
      <c r="L27" s="5"/>
      <c r="M27" s="5"/>
      <c r="N27" s="5"/>
      <c r="O27" s="7"/>
      <c r="P27" s="5"/>
      <c r="R27" s="5"/>
      <c r="V27" s="5"/>
      <c r="W27" s="5"/>
      <c r="Z27" s="5"/>
      <c r="AA27" s="5"/>
    </row>
    <row r="28" spans="1:30" x14ac:dyDescent="0.25">
      <c r="A28" t="s">
        <v>16</v>
      </c>
      <c r="E28" t="s">
        <v>19</v>
      </c>
      <c r="G28">
        <f>G27*0.2*540/3/600</f>
        <v>60</v>
      </c>
      <c r="V28" s="5"/>
      <c r="W28" s="5"/>
      <c r="Z28" s="5"/>
      <c r="AA28" s="5"/>
    </row>
    <row r="29" spans="1:30" x14ac:dyDescent="0.25">
      <c r="E29" t="s">
        <v>103</v>
      </c>
      <c r="G29">
        <f>G27/100*7*24</f>
        <v>1680</v>
      </c>
      <c r="O29" s="7"/>
      <c r="P29" s="7"/>
      <c r="Q29" s="7"/>
      <c r="R29" s="7"/>
      <c r="S29" s="7"/>
    </row>
    <row r="30" spans="1:30" x14ac:dyDescent="0.25">
      <c r="O30" s="7"/>
      <c r="P30" s="7"/>
      <c r="Q30" s="7"/>
      <c r="R30" s="7"/>
      <c r="S30" s="7"/>
    </row>
    <row r="31" spans="1:30" x14ac:dyDescent="0.25">
      <c r="A31" s="27" t="s">
        <v>110</v>
      </c>
    </row>
    <row r="32" spans="1:30" ht="30" x14ac:dyDescent="0.25">
      <c r="A32" s="13" t="s">
        <v>40</v>
      </c>
      <c r="B32" s="13" t="s">
        <v>75</v>
      </c>
      <c r="C32" s="13" t="s">
        <v>41</v>
      </c>
      <c r="D32" s="13" t="s">
        <v>42</v>
      </c>
      <c r="E32" s="13" t="s">
        <v>40</v>
      </c>
      <c r="F32" s="13" t="s">
        <v>75</v>
      </c>
      <c r="G32" s="13" t="s">
        <v>41</v>
      </c>
      <c r="H32" s="13" t="s">
        <v>42</v>
      </c>
    </row>
    <row r="33" spans="1:31" ht="19.5" customHeight="1" x14ac:dyDescent="0.25">
      <c r="A33" s="19" t="s">
        <v>49</v>
      </c>
      <c r="B33" s="14">
        <f>D7/20*1000</f>
        <v>7.5</v>
      </c>
      <c r="C33" s="5">
        <f t="shared" ref="C33:C42" si="19">SQRT(B33*4*1000/60/3.14)</f>
        <v>12.618861628126719</v>
      </c>
      <c r="D33" s="5">
        <f t="shared" ref="D33:D42" si="20">SQRT(B33*4*1000/3/60/3.14)</f>
        <v>7.2855031578656</v>
      </c>
      <c r="E33" s="14" t="s">
        <v>69</v>
      </c>
      <c r="F33" s="19">
        <f>10000/60</f>
        <v>166.66666666666666</v>
      </c>
      <c r="G33" s="5">
        <f t="shared" ref="G33:G41" si="21">SQRT(F33*4*1000/60/3.14)</f>
        <v>59.485884187354138</v>
      </c>
      <c r="H33" s="5">
        <f t="shared" ref="H33:H41" si="22">SQRT(F33*4*1000/3/60/3.14)</f>
        <v>34.344191248551816</v>
      </c>
      <c r="X33" s="11"/>
      <c r="Y33" s="11"/>
      <c r="Z33" s="11"/>
      <c r="AB33" s="12"/>
      <c r="AC33" s="12"/>
      <c r="AD33" s="12"/>
      <c r="AE33" s="12"/>
    </row>
    <row r="34" spans="1:31" ht="19.5" customHeight="1" x14ac:dyDescent="0.25">
      <c r="A34" s="14" t="s">
        <v>60</v>
      </c>
      <c r="B34" s="22">
        <f>G28</f>
        <v>60</v>
      </c>
      <c r="C34" s="5">
        <f t="shared" si="19"/>
        <v>35.691530512412484</v>
      </c>
      <c r="D34" s="5">
        <f t="shared" si="20"/>
        <v>20.606514749131087</v>
      </c>
      <c r="E34" s="14" t="s">
        <v>70</v>
      </c>
      <c r="F34" s="19">
        <f>B5*1000*1.1/60</f>
        <v>9.1666666666666661</v>
      </c>
      <c r="G34" s="5">
        <f t="shared" si="21"/>
        <v>13.950676433969859</v>
      </c>
      <c r="H34" s="5">
        <f t="shared" si="22"/>
        <v>8.0544267945298671</v>
      </c>
      <c r="X34" s="21"/>
      <c r="Y34" s="21"/>
      <c r="Z34" s="21"/>
      <c r="AB34" s="21"/>
      <c r="AC34" s="21"/>
      <c r="AD34" s="21"/>
      <c r="AE34" s="21"/>
    </row>
    <row r="35" spans="1:31" ht="18.75" customHeight="1" x14ac:dyDescent="0.25">
      <c r="A35" s="14" t="s">
        <v>61</v>
      </c>
      <c r="B35" s="14">
        <f>D8*1000/60</f>
        <v>29.999999999999996</v>
      </c>
      <c r="C35" s="5">
        <f t="shared" si="19"/>
        <v>25.237723256253439</v>
      </c>
      <c r="D35" s="5">
        <f t="shared" si="20"/>
        <v>14.5710063157312</v>
      </c>
      <c r="E35" s="14" t="s">
        <v>71</v>
      </c>
      <c r="F35" s="19">
        <f>10000/60</f>
        <v>166.66666666666666</v>
      </c>
      <c r="G35" s="5">
        <f t="shared" si="21"/>
        <v>59.485884187354138</v>
      </c>
      <c r="H35" s="5">
        <f t="shared" si="22"/>
        <v>34.344191248551816</v>
      </c>
      <c r="X35" s="21"/>
      <c r="Y35" s="21"/>
      <c r="Z35" s="21"/>
      <c r="AB35" s="21"/>
      <c r="AC35" s="21"/>
      <c r="AD35" s="21"/>
      <c r="AE35" s="21"/>
    </row>
    <row r="36" spans="1:31" x14ac:dyDescent="0.25">
      <c r="A36" s="14" t="s">
        <v>62</v>
      </c>
      <c r="B36" s="14">
        <f>D9*1000/15</f>
        <v>10</v>
      </c>
      <c r="C36" s="5">
        <f t="shared" si="19"/>
        <v>14.5710063157312</v>
      </c>
      <c r="D36" s="5">
        <f t="shared" si="20"/>
        <v>8.4125744187511451</v>
      </c>
      <c r="E36" s="14" t="s">
        <v>76</v>
      </c>
      <c r="F36" s="19">
        <f>B5*1000*1.1/60</f>
        <v>9.1666666666666661</v>
      </c>
      <c r="G36" s="5">
        <f t="shared" si="21"/>
        <v>13.950676433969859</v>
      </c>
      <c r="H36" s="5">
        <f t="shared" si="22"/>
        <v>8.0544267945298671</v>
      </c>
      <c r="Y36" s="5"/>
      <c r="Z36" s="5"/>
      <c r="AB36" s="5"/>
      <c r="AD36" s="5"/>
    </row>
    <row r="37" spans="1:31" x14ac:dyDescent="0.25">
      <c r="A37" s="14" t="s">
        <v>63</v>
      </c>
      <c r="B37" s="19">
        <f>D10*1000/60/4</f>
        <v>8.3333333333333339</v>
      </c>
      <c r="C37" s="5">
        <f t="shared" si="19"/>
        <v>13.301448074460369</v>
      </c>
      <c r="D37" s="5">
        <f t="shared" si="20"/>
        <v>7.6795946264015233</v>
      </c>
      <c r="E37" s="14" t="s">
        <v>72</v>
      </c>
      <c r="F37" s="19">
        <f>10000/60</f>
        <v>166.66666666666666</v>
      </c>
      <c r="G37" s="5">
        <f t="shared" si="21"/>
        <v>59.485884187354138</v>
      </c>
      <c r="H37" s="5">
        <f t="shared" si="22"/>
        <v>34.344191248551816</v>
      </c>
      <c r="X37" s="4"/>
      <c r="Y37" s="5"/>
      <c r="Z37" s="5"/>
      <c r="AB37" s="5"/>
      <c r="AD37" s="5"/>
    </row>
    <row r="38" spans="1:31" x14ac:dyDescent="0.25">
      <c r="A38" s="14" t="s">
        <v>64</v>
      </c>
      <c r="B38" s="19">
        <f>D10*1000/60/15</f>
        <v>2.2222222222222223</v>
      </c>
      <c r="C38" s="5">
        <f t="shared" si="19"/>
        <v>6.8688382497103628</v>
      </c>
      <c r="D38" s="5">
        <f t="shared" si="20"/>
        <v>3.9657256124902758</v>
      </c>
      <c r="E38" s="14" t="s">
        <v>43</v>
      </c>
      <c r="F38" s="19">
        <f>10000/60</f>
        <v>166.66666666666666</v>
      </c>
      <c r="G38" s="5">
        <f t="shared" si="21"/>
        <v>59.485884187354138</v>
      </c>
      <c r="H38" s="5">
        <f t="shared" si="22"/>
        <v>34.344191248551816</v>
      </c>
      <c r="X38" s="4"/>
      <c r="Y38" s="5"/>
      <c r="Z38" s="5"/>
      <c r="AB38" s="5"/>
      <c r="AD38" s="5"/>
    </row>
    <row r="39" spans="1:31" x14ac:dyDescent="0.25">
      <c r="A39" s="14" t="s">
        <v>65</v>
      </c>
      <c r="B39" s="19">
        <f>D10*1000/60/4</f>
        <v>8.3333333333333339</v>
      </c>
      <c r="C39" s="5">
        <f t="shared" si="19"/>
        <v>13.301448074460369</v>
      </c>
      <c r="D39" s="5">
        <f t="shared" si="20"/>
        <v>7.6795946264015233</v>
      </c>
      <c r="E39" s="14" t="s">
        <v>73</v>
      </c>
      <c r="F39" s="19">
        <f>B5*1000/5/60</f>
        <v>1.6666666666666667</v>
      </c>
      <c r="G39" s="5">
        <f t="shared" si="21"/>
        <v>5.9485884187354134</v>
      </c>
      <c r="H39" s="5">
        <f t="shared" si="22"/>
        <v>3.4344191248551814</v>
      </c>
      <c r="X39" s="4"/>
      <c r="Y39" s="5"/>
      <c r="Z39" s="5"/>
      <c r="AB39" s="5"/>
      <c r="AD39" s="5"/>
    </row>
    <row r="40" spans="1:31" x14ac:dyDescent="0.25">
      <c r="A40" s="14" t="s">
        <v>66</v>
      </c>
      <c r="B40" s="19">
        <f>B5*1000/60</f>
        <v>8.3333333333333339</v>
      </c>
      <c r="C40" s="5">
        <f t="shared" si="19"/>
        <v>13.301448074460369</v>
      </c>
      <c r="D40" s="5">
        <f t="shared" si="20"/>
        <v>7.6795946264015233</v>
      </c>
      <c r="E40" s="14" t="s">
        <v>74</v>
      </c>
      <c r="F40" s="19">
        <f>10000/60</f>
        <v>166.66666666666666</v>
      </c>
      <c r="G40" s="5">
        <f t="shared" si="21"/>
        <v>59.485884187354138</v>
      </c>
      <c r="H40" s="5">
        <f t="shared" si="22"/>
        <v>34.344191248551816</v>
      </c>
      <c r="X40" s="4"/>
      <c r="Y40" s="5"/>
      <c r="Z40" s="5"/>
      <c r="AB40" s="5"/>
      <c r="AD40" s="5"/>
    </row>
    <row r="41" spans="1:31" x14ac:dyDescent="0.25">
      <c r="A41" s="14" t="s">
        <v>67</v>
      </c>
      <c r="B41" s="19">
        <f>B5*1000/60/4</f>
        <v>2.0833333333333335</v>
      </c>
      <c r="C41" s="5">
        <f t="shared" si="19"/>
        <v>6.6507240372301846</v>
      </c>
      <c r="D41" s="5">
        <f t="shared" si="20"/>
        <v>3.8397973132007617</v>
      </c>
      <c r="E41" s="14" t="s">
        <v>44</v>
      </c>
      <c r="F41" s="19">
        <f>(G27/60)+ (G28*0.1)</f>
        <v>22.666666666666668</v>
      </c>
      <c r="G41" s="5">
        <f t="shared" si="21"/>
        <v>21.937310153867497</v>
      </c>
      <c r="H41" s="5">
        <f t="shared" si="22"/>
        <v>12.66551192263171</v>
      </c>
      <c r="X41" s="4"/>
      <c r="Y41" s="5"/>
      <c r="Z41" s="5"/>
      <c r="AB41" s="5"/>
      <c r="AD41" s="5"/>
    </row>
    <row r="42" spans="1:31" x14ac:dyDescent="0.25">
      <c r="A42" s="14" t="s">
        <v>68</v>
      </c>
      <c r="B42" s="19">
        <f>B5*1000/60</f>
        <v>8.3333333333333339</v>
      </c>
      <c r="C42" s="5">
        <f t="shared" si="19"/>
        <v>13.301448074460369</v>
      </c>
      <c r="D42" s="5">
        <f t="shared" si="20"/>
        <v>7.6795946264015233</v>
      </c>
      <c r="E42" s="14"/>
      <c r="F42" s="14"/>
      <c r="G42" s="5"/>
      <c r="H42" s="5"/>
      <c r="X42" s="4"/>
      <c r="Y42" s="5"/>
      <c r="Z42" s="5"/>
      <c r="AB42" s="5"/>
      <c r="AD42" s="5"/>
    </row>
    <row r="43" spans="1:31" x14ac:dyDescent="0.25">
      <c r="X43" s="4"/>
      <c r="Y43" s="5"/>
      <c r="Z43" s="5"/>
      <c r="AB43" s="5"/>
      <c r="AD43" s="5"/>
    </row>
    <row r="44" spans="1:31" x14ac:dyDescent="0.25">
      <c r="X44" s="4"/>
      <c r="Y44" s="5"/>
      <c r="Z44" s="5"/>
      <c r="AB44" s="5"/>
      <c r="AD44" s="5"/>
    </row>
    <row r="45" spans="1:31" x14ac:dyDescent="0.25">
      <c r="X45" s="4"/>
      <c r="Y45" s="5"/>
      <c r="Z45" s="5"/>
      <c r="AB45" s="5"/>
      <c r="AD45" s="5"/>
    </row>
    <row r="46" spans="1:31" x14ac:dyDescent="0.25">
      <c r="X46" s="4"/>
      <c r="Y46" s="5"/>
      <c r="Z46" s="5"/>
      <c r="AB46" s="5"/>
      <c r="AD46" s="5"/>
    </row>
    <row r="47" spans="1:31" x14ac:dyDescent="0.25">
      <c r="X47" s="4"/>
      <c r="Y47" s="5"/>
      <c r="Z47" s="5"/>
      <c r="AB47" s="5"/>
      <c r="AD47" s="5"/>
    </row>
    <row r="48" spans="1:31" x14ac:dyDescent="0.25">
      <c r="X48" s="4"/>
      <c r="Y48" s="5"/>
      <c r="Z48" s="5"/>
      <c r="AB48" s="5"/>
      <c r="AD48" s="5"/>
    </row>
    <row r="49" spans="24:30" x14ac:dyDescent="0.25">
      <c r="X49" s="4"/>
      <c r="Y49" s="5"/>
      <c r="Z49" s="5"/>
      <c r="AB49" s="5"/>
      <c r="AD49" s="5"/>
    </row>
    <row r="50" spans="24:30" x14ac:dyDescent="0.25">
      <c r="X50" s="4"/>
      <c r="Y50" s="5"/>
      <c r="Z50" s="5"/>
      <c r="AB50" s="5"/>
      <c r="AD50" s="5"/>
    </row>
    <row r="51" spans="24:30" x14ac:dyDescent="0.25">
      <c r="Y51" s="5"/>
      <c r="Z51" s="5"/>
      <c r="AB51" s="5"/>
      <c r="AD51" s="5"/>
    </row>
    <row r="52" spans="24:30" x14ac:dyDescent="0.25">
      <c r="Y52" s="5"/>
      <c r="Z52" s="5"/>
      <c r="AB52" s="5"/>
      <c r="AD52" s="5"/>
    </row>
    <row r="53" spans="24:30" x14ac:dyDescent="0.25">
      <c r="Y53" s="5"/>
      <c r="Z53" s="5"/>
      <c r="AB53" s="5"/>
      <c r="AD53" s="5"/>
    </row>
    <row r="54" spans="24:30" x14ac:dyDescent="0.25">
      <c r="Y54" s="5"/>
      <c r="Z54" s="5"/>
      <c r="AB54" s="5"/>
      <c r="AD54" s="5"/>
    </row>
    <row r="55" spans="24:30" x14ac:dyDescent="0.25">
      <c r="Y55" s="5"/>
      <c r="Z55" s="5"/>
      <c r="AB55" s="5"/>
      <c r="AD55" s="5"/>
    </row>
    <row r="56" spans="24:30" x14ac:dyDescent="0.25">
      <c r="Y56" s="5"/>
      <c r="Z56" s="5"/>
      <c r="AB56" s="5"/>
      <c r="AD56" s="5"/>
    </row>
    <row r="57" spans="24:30" x14ac:dyDescent="0.25">
      <c r="Y57" s="5"/>
      <c r="Z57" s="5"/>
      <c r="AB57" s="5"/>
      <c r="AD57" s="5"/>
    </row>
    <row r="58" spans="24:30" x14ac:dyDescent="0.25">
      <c r="Y58" s="5"/>
      <c r="Z58" s="5"/>
      <c r="AB58" s="5"/>
      <c r="AD58" s="5"/>
    </row>
    <row r="59" spans="24:30" x14ac:dyDescent="0.25">
      <c r="Y59" s="5"/>
      <c r="Z59" s="5"/>
      <c r="AB59" s="5"/>
      <c r="AD59" s="5"/>
    </row>
    <row r="60" spans="24:30" x14ac:dyDescent="0.25">
      <c r="Y60" s="5"/>
      <c r="Z60" s="5"/>
      <c r="AB60" s="5"/>
      <c r="AD60" s="5"/>
    </row>
    <row r="62" spans="24:30" x14ac:dyDescent="0.25">
      <c r="Y62" s="5"/>
      <c r="Z62" s="5"/>
    </row>
  </sheetData>
  <mergeCells count="1">
    <mergeCell ref="H6:K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A2" sqref="A2"/>
    </sheetView>
  </sheetViews>
  <sheetFormatPr defaultRowHeight="15" x14ac:dyDescent="0.25"/>
  <cols>
    <col min="6" max="6" width="10" customWidth="1"/>
    <col min="10" max="10" width="15.140625" customWidth="1"/>
    <col min="15" max="15" width="13.140625" customWidth="1"/>
    <col min="16" max="16" width="12.140625" customWidth="1"/>
    <col min="17" max="17" width="11.42578125" customWidth="1"/>
  </cols>
  <sheetData>
    <row r="1" spans="1:16" x14ac:dyDescent="0.25">
      <c r="A1" s="29" t="s">
        <v>20</v>
      </c>
      <c r="B1" s="29"/>
      <c r="C1" s="29"/>
      <c r="D1" s="29"/>
      <c r="E1">
        <v>200</v>
      </c>
    </row>
    <row r="2" spans="1:16" ht="30" x14ac:dyDescent="0.25">
      <c r="A2" s="28" t="s">
        <v>111</v>
      </c>
      <c r="B2" s="25"/>
      <c r="C2" s="25"/>
      <c r="D2" s="25"/>
    </row>
    <row r="3" spans="1:16" x14ac:dyDescent="0.25">
      <c r="A3" t="s">
        <v>35</v>
      </c>
      <c r="B3">
        <v>10000</v>
      </c>
      <c r="C3" t="s">
        <v>36</v>
      </c>
    </row>
    <row r="4" spans="1:16" ht="60" x14ac:dyDescent="0.25">
      <c r="A4" s="25" t="s">
        <v>107</v>
      </c>
      <c r="B4" s="25" t="s">
        <v>34</v>
      </c>
      <c r="C4" s="25" t="s">
        <v>4</v>
      </c>
      <c r="D4" s="25" t="s">
        <v>5</v>
      </c>
      <c r="E4" s="25" t="s">
        <v>6</v>
      </c>
      <c r="F4" s="25" t="s">
        <v>10</v>
      </c>
      <c r="G4" s="25" t="s">
        <v>106</v>
      </c>
      <c r="H4" s="25" t="s">
        <v>13</v>
      </c>
      <c r="I4" s="25" t="s">
        <v>113</v>
      </c>
      <c r="J4" s="10" t="s">
        <v>12</v>
      </c>
      <c r="K4" s="25" t="s">
        <v>45</v>
      </c>
      <c r="L4" s="25" t="s">
        <v>47</v>
      </c>
      <c r="M4" s="25" t="s">
        <v>46</v>
      </c>
      <c r="N4" s="25" t="s">
        <v>48</v>
      </c>
    </row>
    <row r="5" spans="1:16" x14ac:dyDescent="0.25">
      <c r="A5" s="3" t="s">
        <v>2</v>
      </c>
      <c r="B5">
        <v>750</v>
      </c>
      <c r="C5">
        <v>1200</v>
      </c>
      <c r="D5" s="4">
        <f>SQRT(B5*4/C5/3.14159)*1000</f>
        <v>892.06243482291711</v>
      </c>
      <c r="E5">
        <v>900</v>
      </c>
      <c r="F5" s="4">
        <v>4</v>
      </c>
      <c r="G5" s="4">
        <f>3.14159*E5*C5*F5*7.85/1000000</f>
        <v>106.53760008</v>
      </c>
      <c r="H5" s="4">
        <f>E5*E5*1.22*1.22*F5*7.85*2/1000000</f>
        <v>75.711931200000009</v>
      </c>
      <c r="I5" s="4">
        <f>G5*0.05</f>
        <v>5.3268800040000004</v>
      </c>
      <c r="J5" s="7">
        <f>(G5+H5+I5)*E1</f>
        <v>37515.282256800005</v>
      </c>
      <c r="K5" s="5">
        <f t="shared" ref="K5:K14" si="0">G5+H5+I5</f>
        <v>187.57641128400002</v>
      </c>
      <c r="L5" s="5">
        <f>K5*0.8</f>
        <v>150.06112902720002</v>
      </c>
      <c r="M5" s="5">
        <f>K5+L5</f>
        <v>337.63754031120004</v>
      </c>
      <c r="N5" s="5">
        <f>M5</f>
        <v>337.63754031120004</v>
      </c>
    </row>
    <row r="6" spans="1:16" x14ac:dyDescent="0.25">
      <c r="A6" t="s">
        <v>23</v>
      </c>
      <c r="B6">
        <v>3000</v>
      </c>
      <c r="C6">
        <v>1750</v>
      </c>
      <c r="D6" s="4">
        <f>SQRT(B6*4/C6/3.14159)*1000</f>
        <v>1477.395751330509</v>
      </c>
      <c r="E6">
        <v>1500</v>
      </c>
      <c r="F6" s="4">
        <v>8</v>
      </c>
      <c r="G6" s="4">
        <f>3.14159*E6*C6*F6*7.85*2/1000000</f>
        <v>1035.7822229999999</v>
      </c>
      <c r="H6" s="4">
        <f>E6*E6*1.22*1.22*F6*7.85*2/1000000</f>
        <v>420.62184000000002</v>
      </c>
      <c r="I6" s="4">
        <f>G6*0.05</f>
        <v>51.789111149999997</v>
      </c>
      <c r="J6" s="7">
        <f>(G6+H6+I6)*E1</f>
        <v>301638.63483</v>
      </c>
      <c r="K6" s="5">
        <f t="shared" si="0"/>
        <v>1508.19317415</v>
      </c>
      <c r="L6" s="5">
        <f t="shared" ref="L6:L14" si="1">K6*0.8</f>
        <v>1206.55453932</v>
      </c>
      <c r="M6" s="5">
        <f t="shared" ref="M6:M14" si="2">K6+L6</f>
        <v>2714.7477134700002</v>
      </c>
      <c r="N6" s="5">
        <f t="shared" ref="N6:N14" si="3">M6</f>
        <v>2714.7477134700002</v>
      </c>
    </row>
    <row r="7" spans="1:16" x14ac:dyDescent="0.25">
      <c r="A7" t="s">
        <v>7</v>
      </c>
      <c r="B7" s="4">
        <f>3.14159*C7*E7*E7/4000000</f>
        <v>248.87283281250001</v>
      </c>
      <c r="C7">
        <v>3000</v>
      </c>
      <c r="D7" s="4"/>
      <c r="E7">
        <v>325</v>
      </c>
      <c r="F7" s="4">
        <v>6</v>
      </c>
      <c r="G7" s="4">
        <f>3.14159*E7*C7*F7*7.85/1000000</f>
        <v>144.26966677500002</v>
      </c>
      <c r="H7" s="4">
        <f>E7*E7*1.22*1.22*F7*7.85/1000000</f>
        <v>7.4046969749999993</v>
      </c>
      <c r="I7" s="4">
        <f>G7*0.3</f>
        <v>43.280900032500007</v>
      </c>
      <c r="J7" s="7">
        <f>(G7+H7+I7)*E1*1.5</f>
        <v>58486.579134750013</v>
      </c>
      <c r="K7" s="5">
        <f t="shared" si="0"/>
        <v>194.95526378250003</v>
      </c>
      <c r="L7" s="5">
        <f t="shared" si="1"/>
        <v>155.96421102600004</v>
      </c>
      <c r="M7" s="5">
        <f t="shared" si="2"/>
        <v>350.91947480850007</v>
      </c>
      <c r="N7" s="5">
        <f t="shared" si="3"/>
        <v>350.91947480850007</v>
      </c>
    </row>
    <row r="8" spans="1:16" x14ac:dyDescent="0.25">
      <c r="A8" t="s">
        <v>24</v>
      </c>
      <c r="B8">
        <v>300</v>
      </c>
      <c r="C8">
        <v>700</v>
      </c>
      <c r="D8" s="4">
        <f>SQRT(B8*4/C8/3.14159)*1000</f>
        <v>738.69787566525451</v>
      </c>
      <c r="E8">
        <v>750</v>
      </c>
      <c r="F8" s="4">
        <v>6</v>
      </c>
      <c r="G8" s="4">
        <f>3.14159*E8*C8*F8*7.85/1000000</f>
        <v>77.683666724999995</v>
      </c>
      <c r="H8" s="4">
        <f>E8*E8*1.22*1.22*F8*7.85*2/1000000</f>
        <v>78.866595000000004</v>
      </c>
      <c r="I8" s="4">
        <f>G8*0.05</f>
        <v>3.88418333625</v>
      </c>
      <c r="J8" s="7">
        <f>(G8+H8+I8)*E1</f>
        <v>32086.889012249998</v>
      </c>
      <c r="K8" s="5">
        <f t="shared" si="0"/>
        <v>160.43444506124999</v>
      </c>
      <c r="L8" s="5">
        <f t="shared" si="1"/>
        <v>128.34755604899999</v>
      </c>
      <c r="M8" s="5">
        <f t="shared" si="2"/>
        <v>288.78200111025001</v>
      </c>
      <c r="N8" s="5">
        <f t="shared" si="3"/>
        <v>288.78200111025001</v>
      </c>
    </row>
    <row r="9" spans="1:16" x14ac:dyDescent="0.25">
      <c r="A9" t="s">
        <v>8</v>
      </c>
      <c r="B9">
        <v>1500</v>
      </c>
      <c r="C9" s="8">
        <v>1750</v>
      </c>
      <c r="D9" s="4">
        <f>SQRT(B9*4/C9/3.14159)*1000</f>
        <v>1044.6765542619971</v>
      </c>
      <c r="E9">
        <v>1000</v>
      </c>
      <c r="F9" s="4">
        <v>8</v>
      </c>
      <c r="G9" s="4">
        <f>3.14159*E9*C9*F9*7.85*2/1000000</f>
        <v>690.52148199999988</v>
      </c>
      <c r="H9" s="4">
        <f>E9*E9*1.22*1.22*F9*7.85*2/1000000</f>
        <v>186.94304</v>
      </c>
      <c r="I9" s="4">
        <f>G9*0.1</f>
        <v>69.052148199999991</v>
      </c>
      <c r="J9" s="7">
        <f>(G9+H9+I9)*E1</f>
        <v>189303.33403999999</v>
      </c>
      <c r="K9" s="5">
        <f t="shared" si="0"/>
        <v>946.51667019999991</v>
      </c>
      <c r="L9" s="5">
        <f t="shared" si="1"/>
        <v>757.21333615999993</v>
      </c>
      <c r="M9" s="5">
        <f t="shared" si="2"/>
        <v>1703.7300063599998</v>
      </c>
      <c r="N9" s="5">
        <f t="shared" si="3"/>
        <v>1703.7300063599998</v>
      </c>
    </row>
    <row r="10" spans="1:16" x14ac:dyDescent="0.25">
      <c r="A10" t="s">
        <v>25</v>
      </c>
      <c r="B10" s="4">
        <f>3.14159*C10*E10*E10/4000000</f>
        <v>497.74566562500002</v>
      </c>
      <c r="C10" s="8">
        <v>6000</v>
      </c>
      <c r="D10" s="4"/>
      <c r="E10">
        <v>325</v>
      </c>
      <c r="F10" s="4">
        <v>6</v>
      </c>
      <c r="G10" s="4">
        <f>3.14159*E10*C10*F10*7.85/1000000</f>
        <v>288.53933355000004</v>
      </c>
      <c r="H10" s="4">
        <f>E10*E10*1.22*1.22*F10*7.85/1000000</f>
        <v>7.4046969749999993</v>
      </c>
      <c r="I10" s="4">
        <f>G10*0.3</f>
        <v>86.561800065000014</v>
      </c>
      <c r="J10" s="7">
        <f>(G10+H10+I10)*E1</f>
        <v>76501.166118000008</v>
      </c>
      <c r="K10" s="5">
        <f t="shared" si="0"/>
        <v>382.50583059000002</v>
      </c>
      <c r="L10" s="5">
        <f t="shared" si="1"/>
        <v>306.004664472</v>
      </c>
      <c r="M10" s="5">
        <f t="shared" si="2"/>
        <v>688.51049506200002</v>
      </c>
      <c r="N10" s="5">
        <f t="shared" si="3"/>
        <v>688.51049506200002</v>
      </c>
    </row>
    <row r="11" spans="1:16" x14ac:dyDescent="0.25">
      <c r="A11" t="s">
        <v>9</v>
      </c>
      <c r="B11">
        <v>750</v>
      </c>
      <c r="C11" s="8">
        <v>1200</v>
      </c>
      <c r="D11" s="4">
        <f>SQRT(B11*4/C11/3.14159)*1000</f>
        <v>892.06243482291711</v>
      </c>
      <c r="E11">
        <v>900</v>
      </c>
      <c r="F11" s="4">
        <v>6</v>
      </c>
      <c r="G11" s="4">
        <f>3.14159*E11*C11*F11*7.85/1000000</f>
        <v>159.80640012000001</v>
      </c>
      <c r="H11" s="4">
        <f>E11*E11*1.22*1.22*F11*7.85*2/1000000</f>
        <v>113.5678968</v>
      </c>
      <c r="I11" s="4">
        <f t="shared" ref="I11:I14" si="4">G11*0.1</f>
        <v>15.980640012000002</v>
      </c>
      <c r="J11" s="7">
        <f>(G11+H11+I11)*E1</f>
        <v>57870.987386399996</v>
      </c>
      <c r="K11" s="5">
        <f t="shared" si="0"/>
        <v>289.35493693199999</v>
      </c>
      <c r="L11" s="5">
        <f t="shared" si="1"/>
        <v>231.48394954560001</v>
      </c>
      <c r="M11" s="5">
        <f t="shared" si="2"/>
        <v>520.8388864776</v>
      </c>
      <c r="N11" s="5">
        <f t="shared" si="3"/>
        <v>520.8388864776</v>
      </c>
    </row>
    <row r="12" spans="1:16" x14ac:dyDescent="0.25">
      <c r="A12" t="s">
        <v>26</v>
      </c>
      <c r="B12">
        <v>1500</v>
      </c>
      <c r="C12" s="8">
        <v>1750</v>
      </c>
      <c r="D12" s="4">
        <f>SQRT(B12*4/C12/3.14159)*1000</f>
        <v>1044.6765542619971</v>
      </c>
      <c r="E12">
        <v>1000</v>
      </c>
      <c r="F12" s="4">
        <v>8</v>
      </c>
      <c r="G12" s="4">
        <f>3.14159*E12*C12*F12*7.85*2/1000000</f>
        <v>690.52148199999988</v>
      </c>
      <c r="H12" s="4">
        <f>E12*E12*1.22*1.22*F12*7.85*2/1000000</f>
        <v>186.94304</v>
      </c>
      <c r="I12" s="4">
        <f t="shared" si="4"/>
        <v>69.052148199999991</v>
      </c>
      <c r="J12" s="7">
        <f>(G12+H12+I12)*E1</f>
        <v>189303.33403999999</v>
      </c>
      <c r="K12" s="5">
        <f t="shared" si="0"/>
        <v>946.51667019999991</v>
      </c>
      <c r="L12" s="5">
        <f t="shared" si="1"/>
        <v>757.21333615999993</v>
      </c>
      <c r="M12" s="5">
        <f t="shared" si="2"/>
        <v>1703.7300063599998</v>
      </c>
      <c r="N12" s="5">
        <f t="shared" si="3"/>
        <v>1703.7300063599998</v>
      </c>
    </row>
    <row r="13" spans="1:16" x14ac:dyDescent="0.25">
      <c r="A13" t="s">
        <v>27</v>
      </c>
      <c r="B13" s="4">
        <f>3.14159*C13*E13*E13/4000000</f>
        <v>497.74566562500002</v>
      </c>
      <c r="C13" s="8">
        <v>6000</v>
      </c>
      <c r="D13" s="4"/>
      <c r="E13">
        <v>325</v>
      </c>
      <c r="F13" s="4">
        <v>6</v>
      </c>
      <c r="G13" s="4">
        <f>3.14159*E13*C13*F13*7.85/1000000</f>
        <v>288.53933355000004</v>
      </c>
      <c r="H13" s="4">
        <f>E13*E13*1.22*1.22*F13*7.85/1000000</f>
        <v>7.4046969749999993</v>
      </c>
      <c r="I13" s="4">
        <f>G13*0.3</f>
        <v>86.561800065000014</v>
      </c>
      <c r="J13" s="7">
        <f>(G13+H13+I13)*E1</f>
        <v>76501.166118000008</v>
      </c>
      <c r="K13" s="5">
        <f t="shared" si="0"/>
        <v>382.50583059000002</v>
      </c>
      <c r="L13" s="5">
        <f t="shared" si="1"/>
        <v>306.004664472</v>
      </c>
      <c r="M13" s="5">
        <f t="shared" si="2"/>
        <v>688.51049506200002</v>
      </c>
      <c r="N13" s="5">
        <f t="shared" si="3"/>
        <v>688.51049506200002</v>
      </c>
    </row>
    <row r="14" spans="1:16" x14ac:dyDescent="0.25">
      <c r="A14" t="s">
        <v>28</v>
      </c>
      <c r="B14">
        <v>750</v>
      </c>
      <c r="C14" s="8">
        <v>1200</v>
      </c>
      <c r="D14" s="4">
        <f>SQRT(B14*4/C14/3.14159)*1000</f>
        <v>892.06243482291711</v>
      </c>
      <c r="E14">
        <v>900</v>
      </c>
      <c r="F14" s="4">
        <v>8</v>
      </c>
      <c r="G14" s="4">
        <f>3.14159*E14*C14*F14*7.85/1000000</f>
        <v>213.07520016000001</v>
      </c>
      <c r="H14" s="4">
        <f>E14*E14*1.22*1.22*F14*7.85*2/1000000</f>
        <v>151.42386240000002</v>
      </c>
      <c r="I14" s="4">
        <f t="shared" si="4"/>
        <v>21.307520016000002</v>
      </c>
      <c r="J14" s="7">
        <f>(G14+H14+I14)*E1</f>
        <v>77161.316515200015</v>
      </c>
      <c r="K14" s="5">
        <f t="shared" si="0"/>
        <v>385.80658257600004</v>
      </c>
      <c r="L14" s="5">
        <f t="shared" si="1"/>
        <v>308.64526606080005</v>
      </c>
      <c r="M14" s="5">
        <f t="shared" si="2"/>
        <v>694.45184863680015</v>
      </c>
      <c r="N14" s="5">
        <f t="shared" si="3"/>
        <v>694.45184863680015</v>
      </c>
    </row>
    <row r="15" spans="1:16" x14ac:dyDescent="0.25">
      <c r="A15" t="s">
        <v>112</v>
      </c>
      <c r="C15" s="8"/>
      <c r="D15" s="4"/>
      <c r="F15" s="4"/>
      <c r="G15" s="4"/>
      <c r="H15" s="4"/>
      <c r="I15" s="4"/>
      <c r="J15" s="7">
        <v>250000</v>
      </c>
      <c r="K15" s="9"/>
      <c r="L15" s="4"/>
      <c r="M15" s="5"/>
      <c r="N15" s="5"/>
      <c r="O15" s="5"/>
      <c r="P15" s="5"/>
    </row>
    <row r="16" spans="1:16" x14ac:dyDescent="0.25">
      <c r="C16" s="8"/>
      <c r="D16" s="4"/>
      <c r="F16" s="4"/>
      <c r="G16" s="4"/>
      <c r="H16" s="4"/>
      <c r="I16" s="4"/>
      <c r="J16" s="7"/>
      <c r="K16" s="9"/>
      <c r="L16" s="4"/>
      <c r="M16" s="5"/>
      <c r="N16" s="5"/>
      <c r="O16" s="5"/>
      <c r="P16" s="5"/>
    </row>
    <row r="17" spans="1:12" x14ac:dyDescent="0.25">
      <c r="H17" s="5"/>
      <c r="I17" s="5" t="s">
        <v>14</v>
      </c>
      <c r="J17" s="7">
        <f>SUM(J5:J15)</f>
        <v>1346368.6894514002</v>
      </c>
      <c r="K17" s="9"/>
      <c r="L17" s="4"/>
    </row>
    <row r="18" spans="1:12" x14ac:dyDescent="0.25">
      <c r="H18" s="5"/>
      <c r="I18" s="5"/>
      <c r="J18" s="7"/>
      <c r="K18" s="9"/>
      <c r="L18" s="4"/>
    </row>
    <row r="19" spans="1:12" x14ac:dyDescent="0.25">
      <c r="A19" s="27" t="s">
        <v>109</v>
      </c>
      <c r="C19" s="8"/>
      <c r="D19" s="4"/>
      <c r="F19" s="5"/>
      <c r="G19" s="5"/>
      <c r="H19" s="5"/>
      <c r="I19" s="5"/>
      <c r="J19" s="7"/>
      <c r="K19" s="9"/>
      <c r="L19" s="4"/>
    </row>
    <row r="20" spans="1:12" x14ac:dyDescent="0.25">
      <c r="A20" t="s">
        <v>39</v>
      </c>
      <c r="E20" t="s">
        <v>38</v>
      </c>
      <c r="F20">
        <f>B3*80/24*5</f>
        <v>166666.66666666669</v>
      </c>
    </row>
    <row r="21" spans="1:12" x14ac:dyDescent="0.25">
      <c r="A21" t="s">
        <v>16</v>
      </c>
      <c r="E21" t="s">
        <v>19</v>
      </c>
      <c r="F21" s="4">
        <f>F20*0.2/3/60</f>
        <v>185.18518518518519</v>
      </c>
    </row>
    <row r="23" spans="1:12" x14ac:dyDescent="0.25">
      <c r="A23" s="27" t="s">
        <v>110</v>
      </c>
    </row>
    <row r="24" spans="1:12" ht="45" x14ac:dyDescent="0.25">
      <c r="A24" s="25" t="s">
        <v>21</v>
      </c>
      <c r="B24" s="25" t="s">
        <v>37</v>
      </c>
    </row>
    <row r="25" spans="1:12" x14ac:dyDescent="0.25">
      <c r="A25" s="9" t="s">
        <v>29</v>
      </c>
      <c r="B25" s="4">
        <f>B3*0.95/16</f>
        <v>593.75</v>
      </c>
    </row>
    <row r="26" spans="1:12" x14ac:dyDescent="0.25">
      <c r="A26" s="9" t="s">
        <v>30</v>
      </c>
      <c r="B26" s="4">
        <f>B3*0.15/16</f>
        <v>93.75</v>
      </c>
    </row>
    <row r="27" spans="1:12" x14ac:dyDescent="0.25">
      <c r="A27" s="9" t="s">
        <v>31</v>
      </c>
      <c r="B27" s="4">
        <f>B3*0.5/16</f>
        <v>312.5</v>
      </c>
    </row>
    <row r="28" spans="1:12" x14ac:dyDescent="0.25">
      <c r="A28" s="9" t="s">
        <v>22</v>
      </c>
      <c r="B28" s="4">
        <f>B3*0.5/16</f>
        <v>312.5</v>
      </c>
    </row>
    <row r="29" spans="1:12" x14ac:dyDescent="0.25">
      <c r="A29" s="9" t="s">
        <v>32</v>
      </c>
      <c r="B29" s="4">
        <f>B3*0.15/16</f>
        <v>93.75</v>
      </c>
    </row>
    <row r="30" spans="1:12" x14ac:dyDescent="0.25">
      <c r="A30" s="9" t="s">
        <v>33</v>
      </c>
      <c r="B30" s="4">
        <f>B3*0.5/16</f>
        <v>312.5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biodiesel</vt:lpstr>
      <vt:lpstr>distillation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 Lele</dc:creator>
  <cp:lastModifiedBy>Satish LelE</cp:lastModifiedBy>
  <cp:lastPrinted>2024-03-24T05:25:33Z</cp:lastPrinted>
  <dcterms:created xsi:type="dcterms:W3CDTF">2017-08-01T06:27:55Z</dcterms:created>
  <dcterms:modified xsi:type="dcterms:W3CDTF">2024-03-25T04:28:57Z</dcterms:modified>
</cp:coreProperties>
</file>