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webpage\svlele\bd\"/>
    </mc:Choice>
  </mc:AlternateContent>
  <bookViews>
    <workbookView xWindow="0" yWindow="0" windowWidth="10785" windowHeight="9375"/>
  </bookViews>
  <sheets>
    <sheet name="biodiesel" sheetId="1" r:id="rId1"/>
    <sheet name="distilation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4" i="1" l="1"/>
  <c r="O23" i="1"/>
  <c r="O22" i="1"/>
  <c r="J11" i="3" l="1"/>
  <c r="J7" i="3"/>
  <c r="O25" i="1"/>
  <c r="O21" i="1"/>
  <c r="O20" i="1"/>
  <c r="O12" i="1"/>
  <c r="O11" i="1"/>
  <c r="O9" i="1"/>
  <c r="O8" i="1"/>
  <c r="O5" i="1"/>
  <c r="G12" i="3" l="1"/>
  <c r="G9" i="3"/>
  <c r="G6" i="3"/>
  <c r="H14" i="3"/>
  <c r="G14" i="3"/>
  <c r="H13" i="3"/>
  <c r="G13" i="3"/>
  <c r="H12" i="3"/>
  <c r="H11" i="3"/>
  <c r="G11" i="3"/>
  <c r="H10" i="3"/>
  <c r="G10" i="3"/>
  <c r="H9" i="3"/>
  <c r="H7" i="3"/>
  <c r="G7" i="3"/>
  <c r="H6" i="3"/>
  <c r="H5" i="3"/>
  <c r="G5" i="3"/>
  <c r="M14" i="1" l="1"/>
  <c r="M13" i="1"/>
  <c r="M5" i="1"/>
  <c r="L14" i="1"/>
  <c r="L13" i="1"/>
  <c r="L11" i="1"/>
  <c r="L10" i="1"/>
  <c r="L8" i="1"/>
  <c r="L7" i="1"/>
  <c r="L5" i="1"/>
  <c r="Q23" i="1" l="1"/>
  <c r="M23" i="1"/>
  <c r="L23" i="1"/>
  <c r="F23" i="1"/>
  <c r="N23" i="1" l="1"/>
  <c r="F20" i="3"/>
  <c r="G32" i="1"/>
  <c r="B37" i="1" s="1"/>
  <c r="Q22" i="1"/>
  <c r="Q21" i="1"/>
  <c r="Q20" i="1"/>
  <c r="G33" i="1"/>
  <c r="B46" i="1"/>
  <c r="C46" i="1" s="1"/>
  <c r="B50" i="1"/>
  <c r="C50" i="1" s="1"/>
  <c r="B48" i="1"/>
  <c r="C48" i="1" s="1"/>
  <c r="B45" i="1"/>
  <c r="C45" i="1" s="1"/>
  <c r="D18" i="1"/>
  <c r="D17" i="1"/>
  <c r="D16" i="1"/>
  <c r="D15" i="1"/>
  <c r="D8" i="1"/>
  <c r="D14" i="1" s="1"/>
  <c r="D7" i="1"/>
  <c r="Q7" i="1" s="1"/>
  <c r="D6" i="1"/>
  <c r="Q6" i="1" s="1"/>
  <c r="D5" i="1"/>
  <c r="D13" i="1" s="1"/>
  <c r="L25" i="1"/>
  <c r="L24" i="1"/>
  <c r="L22" i="1"/>
  <c r="N22" i="1" s="1"/>
  <c r="L21" i="1"/>
  <c r="N21" i="1" s="1"/>
  <c r="L20" i="1"/>
  <c r="M25" i="1"/>
  <c r="M24" i="1"/>
  <c r="M22" i="1"/>
  <c r="M21" i="1"/>
  <c r="M20" i="1"/>
  <c r="N14" i="1"/>
  <c r="N13" i="1"/>
  <c r="M12" i="1"/>
  <c r="M11" i="1"/>
  <c r="M10" i="1"/>
  <c r="M7" i="1"/>
  <c r="M6" i="1"/>
  <c r="L12" i="1"/>
  <c r="N12" i="1" s="1"/>
  <c r="N7" i="1"/>
  <c r="L6" i="1"/>
  <c r="Q25" i="1"/>
  <c r="F25" i="1"/>
  <c r="Q24" i="1"/>
  <c r="F24" i="1"/>
  <c r="F22" i="1"/>
  <c r="F21" i="1"/>
  <c r="F20" i="1"/>
  <c r="M9" i="1"/>
  <c r="L9" i="1"/>
  <c r="N11" i="1" l="1"/>
  <c r="P23" i="1"/>
  <c r="R23" i="1" s="1"/>
  <c r="S23" i="1" s="1"/>
  <c r="Q5" i="1"/>
  <c r="Q8" i="1"/>
  <c r="B38" i="1"/>
  <c r="B39" i="1"/>
  <c r="D39" i="1" s="1"/>
  <c r="B49" i="1"/>
  <c r="D11" i="1"/>
  <c r="D10" i="1"/>
  <c r="B47" i="1"/>
  <c r="C47" i="1" s="1"/>
  <c r="D45" i="1"/>
  <c r="D9" i="1"/>
  <c r="Q9" i="1" s="1"/>
  <c r="F6" i="1"/>
  <c r="D48" i="1"/>
  <c r="D46" i="1"/>
  <c r="D50" i="1"/>
  <c r="F7" i="1"/>
  <c r="N9" i="1"/>
  <c r="N10" i="1"/>
  <c r="P10" i="1" s="1"/>
  <c r="O7" i="1"/>
  <c r="N6" i="1"/>
  <c r="O6" i="1" s="1"/>
  <c r="N5" i="1"/>
  <c r="O14" i="1"/>
  <c r="O13" i="1"/>
  <c r="N25" i="1"/>
  <c r="N20" i="1"/>
  <c r="N8" i="1"/>
  <c r="F8" i="1"/>
  <c r="M8" i="1"/>
  <c r="P11" i="1"/>
  <c r="F5" i="1"/>
  <c r="P9" i="1"/>
  <c r="P21" i="1"/>
  <c r="R21" i="1" s="1"/>
  <c r="S21" i="1" s="1"/>
  <c r="P12" i="1"/>
  <c r="R12" i="1" s="1"/>
  <c r="S12" i="1" s="1"/>
  <c r="D47" i="1" l="1"/>
  <c r="C39" i="1"/>
  <c r="F9" i="1"/>
  <c r="O10" i="1"/>
  <c r="B43" i="1"/>
  <c r="C43" i="1" s="1"/>
  <c r="Q10" i="1"/>
  <c r="R10" i="1" s="1"/>
  <c r="S10" i="1" s="1"/>
  <c r="B44" i="1"/>
  <c r="Q11" i="1"/>
  <c r="B41" i="1"/>
  <c r="B42" i="1" s="1"/>
  <c r="B40" i="1"/>
  <c r="C40" i="1" s="1"/>
  <c r="F31" i="1"/>
  <c r="F29" i="1" s="1"/>
  <c r="P6" i="1"/>
  <c r="R6" i="1" s="1"/>
  <c r="S6" i="1" s="1"/>
  <c r="P8" i="1"/>
  <c r="D38" i="1"/>
  <c r="C38" i="1"/>
  <c r="C49" i="1"/>
  <c r="D49" i="1"/>
  <c r="R11" i="1"/>
  <c r="S11" i="1" s="1"/>
  <c r="R9" i="1"/>
  <c r="S9" i="1" s="1"/>
  <c r="F11" i="1"/>
  <c r="N24" i="1"/>
  <c r="P22" i="1"/>
  <c r="R22" i="1" s="1"/>
  <c r="S22" i="1" s="1"/>
  <c r="P20" i="1"/>
  <c r="R20" i="1" s="1"/>
  <c r="S20" i="1" s="1"/>
  <c r="P5" i="1"/>
  <c r="R5" i="1" s="1"/>
  <c r="S5" i="1" s="1"/>
  <c r="R8" i="1"/>
  <c r="S8" i="1" s="1"/>
  <c r="P7" i="1"/>
  <c r="R7" i="1" s="1"/>
  <c r="S7" i="1" s="1"/>
  <c r="Q13" i="1"/>
  <c r="F13" i="1"/>
  <c r="F10" i="1"/>
  <c r="Q14" i="1"/>
  <c r="F14" i="1"/>
  <c r="P13" i="1"/>
  <c r="P25" i="1"/>
  <c r="R25" i="1" s="1"/>
  <c r="S25" i="1" s="1"/>
  <c r="P14" i="1"/>
  <c r="D43" i="1" l="1"/>
  <c r="D40" i="1"/>
  <c r="P24" i="1"/>
  <c r="R24" i="1" s="1"/>
  <c r="S24" i="1" s="1"/>
  <c r="O27" i="1"/>
  <c r="C41" i="1"/>
  <c r="D41" i="1"/>
  <c r="C37" i="1"/>
  <c r="D37" i="1"/>
  <c r="D42" i="1"/>
  <c r="C42" i="1"/>
  <c r="D44" i="1"/>
  <c r="C44" i="1"/>
  <c r="R14" i="1"/>
  <c r="S14" i="1" s="1"/>
  <c r="R13" i="1"/>
  <c r="S13" i="1" s="1"/>
  <c r="D12" i="3" l="1"/>
  <c r="F21" i="3"/>
  <c r="I14" i="3"/>
  <c r="D14" i="3"/>
  <c r="I13" i="3"/>
  <c r="B13" i="3"/>
  <c r="I12" i="3"/>
  <c r="I11" i="3"/>
  <c r="D11" i="3"/>
  <c r="B30" i="3"/>
  <c r="I10" i="3"/>
  <c r="B10" i="3"/>
  <c r="B29" i="3"/>
  <c r="I9" i="3"/>
  <c r="D9" i="3"/>
  <c r="B28" i="3"/>
  <c r="H8" i="3"/>
  <c r="G8" i="3"/>
  <c r="I8" i="3" s="1"/>
  <c r="D8" i="3"/>
  <c r="B27" i="3"/>
  <c r="I7" i="3"/>
  <c r="B7" i="3"/>
  <c r="B26" i="3"/>
  <c r="I6" i="3"/>
  <c r="D6" i="3"/>
  <c r="B25" i="3"/>
  <c r="I5" i="3"/>
  <c r="D5" i="3"/>
  <c r="K12" i="3" l="1"/>
  <c r="L12" i="3" s="1"/>
  <c r="M12" i="3" s="1"/>
  <c r="N12" i="3" s="1"/>
  <c r="J14" i="3"/>
  <c r="J5" i="3"/>
  <c r="J6" i="3"/>
  <c r="J8" i="3"/>
  <c r="J17" i="3" s="1"/>
  <c r="J9" i="3"/>
  <c r="J10" i="3"/>
  <c r="J13" i="3"/>
  <c r="K14" i="3" l="1"/>
  <c r="L14" i="3" s="1"/>
  <c r="M14" i="3" s="1"/>
  <c r="N14" i="3" s="1"/>
  <c r="J12" i="3"/>
  <c r="K9" i="3"/>
  <c r="L9" i="3" s="1"/>
  <c r="M9" i="3" s="1"/>
  <c r="N9" i="3" s="1"/>
  <c r="K5" i="3"/>
  <c r="K8" i="3"/>
  <c r="L8" i="3" s="1"/>
  <c r="M8" i="3" s="1"/>
  <c r="N8" i="3" s="1"/>
  <c r="K11" i="3"/>
  <c r="L11" i="3" s="1"/>
  <c r="M11" i="3" s="1"/>
  <c r="N11" i="3" s="1"/>
  <c r="K7" i="3"/>
  <c r="K10" i="3"/>
  <c r="L10" i="3" s="1"/>
  <c r="M10" i="3" s="1"/>
  <c r="N10" i="3" s="1"/>
  <c r="K6" i="3"/>
  <c r="K13" i="3"/>
  <c r="L13" i="3" s="1"/>
  <c r="M13" i="3" s="1"/>
  <c r="N13" i="3" s="1"/>
  <c r="L5" i="3" l="1"/>
  <c r="M5" i="3" s="1"/>
  <c r="N5" i="3" s="1"/>
  <c r="L6" i="3"/>
  <c r="M6" i="3" s="1"/>
  <c r="N6" i="3" s="1"/>
  <c r="L7" i="3"/>
  <c r="M7" i="3" s="1"/>
  <c r="N7" i="3" s="1"/>
</calcChain>
</file>

<file path=xl/sharedStrings.xml><?xml version="1.0" encoding="utf-8"?>
<sst xmlns="http://schemas.openxmlformats.org/spreadsheetml/2006/main" count="155" uniqueCount="121">
  <si>
    <t>Capacity TPD</t>
  </si>
  <si>
    <t>VE-01</t>
  </si>
  <si>
    <t>Vessel Volume Cu M</t>
  </si>
  <si>
    <t>Reactor No.</t>
  </si>
  <si>
    <t>Length mm</t>
  </si>
  <si>
    <t>Diameter mm</t>
  </si>
  <si>
    <t>Diameter rounded mm</t>
  </si>
  <si>
    <t>VE-04</t>
  </si>
  <si>
    <t>VE-08</t>
  </si>
  <si>
    <t>VE-12</t>
  </si>
  <si>
    <t>Plate Thickness mm</t>
  </si>
  <si>
    <t>Vessel Price</t>
  </si>
  <si>
    <t>Top/Bot or Dishes Weight</t>
  </si>
  <si>
    <t>Total</t>
  </si>
  <si>
    <t>GT-23</t>
  </si>
  <si>
    <t>Boiler</t>
  </si>
  <si>
    <t>Cooling Tower</t>
  </si>
  <si>
    <t>Kg/Hr</t>
  </si>
  <si>
    <t>LPM</t>
  </si>
  <si>
    <t>Fabrication Cost Rs./Kg for MS</t>
  </si>
  <si>
    <t>Pump Number</t>
  </si>
  <si>
    <t>P-13</t>
  </si>
  <si>
    <t>VE-02</t>
  </si>
  <si>
    <t>VE-06</t>
  </si>
  <si>
    <t>VE-10</t>
  </si>
  <si>
    <t>VE-14</t>
  </si>
  <si>
    <t>VE-15</t>
  </si>
  <si>
    <t>VE-18</t>
  </si>
  <si>
    <t>P-03</t>
  </si>
  <si>
    <t>P-07</t>
  </si>
  <si>
    <t>P-09</t>
  </si>
  <si>
    <t>P-17</t>
  </si>
  <si>
    <t>P-19</t>
  </si>
  <si>
    <t>Vessel Volume Liters</t>
  </si>
  <si>
    <t>Capacity</t>
  </si>
  <si>
    <t>Lit/day</t>
  </si>
  <si>
    <t>Pump Capacity Lit/hr</t>
  </si>
  <si>
    <t>KCAL/Hr</t>
  </si>
  <si>
    <t>Hot Oil Unit</t>
  </si>
  <si>
    <t>Pump</t>
  </si>
  <si>
    <t>Suction Dia</t>
  </si>
  <si>
    <t>Discharge Dia</t>
  </si>
  <si>
    <t>Pumps</t>
  </si>
  <si>
    <t>Weight of Vessel Kg</t>
  </si>
  <si>
    <t>Total Load of Vessel Kg</t>
  </si>
  <si>
    <t>Wt of Contents Kgs</t>
  </si>
  <si>
    <t>Total Dynamic Load Kg</t>
  </si>
  <si>
    <t>P-01 CW</t>
  </si>
  <si>
    <t>P-05 ST-Bio</t>
  </si>
  <si>
    <t>OF-03</t>
  </si>
  <si>
    <t>PT-01</t>
  </si>
  <si>
    <t>ST-06/07/08</t>
  </si>
  <si>
    <t>BR-17</t>
  </si>
  <si>
    <t>BR-04</t>
  </si>
  <si>
    <t>MR-11/GR-14</t>
  </si>
  <si>
    <t>AC-03</t>
  </si>
  <si>
    <t>WC-10</t>
  </si>
  <si>
    <t>FT-20</t>
  </si>
  <si>
    <t>WT-21</t>
  </si>
  <si>
    <t>MT-22</t>
  </si>
  <si>
    <t>OT-24</t>
  </si>
  <si>
    <t>BT-25</t>
  </si>
  <si>
    <t>P-02 PT-01</t>
  </si>
  <si>
    <t>P-03 BR-04</t>
  </si>
  <si>
    <t>P-04 ST-Gly</t>
  </si>
  <si>
    <t>P-06 WC-10</t>
  </si>
  <si>
    <t>P-07 GR-14</t>
  </si>
  <si>
    <t>P-08 BR-17</t>
  </si>
  <si>
    <t>P-09 FT-20</t>
  </si>
  <si>
    <t>P-10 WT-21</t>
  </si>
  <si>
    <t>P-11 MT-22</t>
  </si>
  <si>
    <t>P-12 GT-23</t>
  </si>
  <si>
    <t>P-13  OT-24</t>
  </si>
  <si>
    <t>P-14 BT-25</t>
  </si>
  <si>
    <t>BioDiesel Reactor</t>
  </si>
  <si>
    <t>Oil Stg Tank</t>
  </si>
  <si>
    <t>Biod Stg Tank</t>
  </si>
  <si>
    <t>Glyc Stg Tank</t>
  </si>
  <si>
    <t>Wat Stg Tank</t>
  </si>
  <si>
    <t>Fuel Stg Tank</t>
  </si>
  <si>
    <t>Oil Feed Tank</t>
  </si>
  <si>
    <t>Methanol Stg Tank</t>
  </si>
  <si>
    <t>Biod  Purification</t>
  </si>
  <si>
    <t>Mat</t>
  </si>
  <si>
    <t>CS</t>
  </si>
  <si>
    <t>SS304</t>
  </si>
  <si>
    <t>LDO Lit/day</t>
  </si>
  <si>
    <t>Batch</t>
  </si>
  <si>
    <t>Pump Capacity LPM</t>
  </si>
  <si>
    <t>SS316L</t>
  </si>
  <si>
    <t>MC-13</t>
  </si>
  <si>
    <t>Methanol Condenser</t>
  </si>
  <si>
    <t>MT-12/GT-15/BT-18</t>
  </si>
  <si>
    <t>H-11/14</t>
  </si>
  <si>
    <t>H-17</t>
  </si>
  <si>
    <t>Fabrication Cost Rs./Kg for SS316L</t>
  </si>
  <si>
    <t>Fabrication Cost Rs./Kg for Stg Tanks</t>
  </si>
  <si>
    <t>BC-05/BC-09/GC-16/BC-19</t>
  </si>
  <si>
    <t>Glycerine Feed Tank</t>
  </si>
  <si>
    <t>GF-02</t>
  </si>
  <si>
    <t>Pretreatment Tank</t>
  </si>
  <si>
    <t>OR</t>
  </si>
  <si>
    <t>Lakh KCal/Hr</t>
  </si>
  <si>
    <t>Hot Water Boiler</t>
  </si>
  <si>
    <t>Shell  / Jacket Weight</t>
  </si>
  <si>
    <t>Recycle Condensers - 4 Nos.</t>
  </si>
  <si>
    <t>Acid Columns - 2 Nos.</t>
  </si>
  <si>
    <t>PT-01/BR-04</t>
  </si>
  <si>
    <t>Settling Tanks - 3 Nos.</t>
  </si>
  <si>
    <t>Met Gly Purification - 2 No.</t>
  </si>
  <si>
    <t>Distillation Towers- 3 No.</t>
  </si>
  <si>
    <t>Dry Wash Columns- 2 Nos.</t>
  </si>
  <si>
    <t>Agitators - 2 nos.</t>
  </si>
  <si>
    <t>Rec Vessel Coolers - 2 Nos.</t>
  </si>
  <si>
    <t>Rec Vessel Coolers</t>
  </si>
  <si>
    <t>Shell  Jacket Weight</t>
  </si>
  <si>
    <t>Equipment No.</t>
  </si>
  <si>
    <t>Nozzles / Legs  Weight</t>
  </si>
  <si>
    <t>Main Plant</t>
  </si>
  <si>
    <t>Utilities</t>
  </si>
  <si>
    <t>C-05/11/16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</si>
</sst>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164" formatCode="_-[$Rs-420]* #,##0.00_-;_-[$Rs-420]* #,##0.00\-;_-[$Rs-420]* &quot;-&quot;??_-;_-@_-"/>
    <numFmt numFmtId="165" formatCode="_-[$Rs-420]* #,##0_-;_-[$Rs-420]* #,##0\-;_-[$Rs-420]* &quot;-&quot;??_-;_-@_-"/>
    <numFmt numFmtId="166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1" fontId="0" fillId="0" borderId="0" xfId="0" applyNumberFormat="1"/>
    <xf numFmtId="2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1" fillId="0" borderId="0" xfId="0" applyFont="1"/>
    <xf numFmtId="0" fontId="0" fillId="0" borderId="0" xfId="0" applyAlignment="1">
      <alignment horizontal="right"/>
    </xf>
    <xf numFmtId="164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wrapText="1"/>
    </xf>
    <xf numFmtId="41" fontId="0" fillId="0" borderId="0" xfId="0" applyNumberFormat="1"/>
    <xf numFmtId="0" fontId="0" fillId="0" borderId="0" xfId="0" applyAlignment="1">
      <alignment horizontal="right" wrapText="1"/>
    </xf>
    <xf numFmtId="1" fontId="0" fillId="0" borderId="0" xfId="0" applyNumberFormat="1" applyAlignment="1">
      <alignment horizontal="right"/>
    </xf>
    <xf numFmtId="1" fontId="0" fillId="0" borderId="0" xfId="0" applyNumberFormat="1" applyAlignment="1"/>
    <xf numFmtId="0" fontId="0" fillId="0" borderId="0" xfId="0" applyAlignment="1">
      <alignment horizontal="center" wrapText="1"/>
    </xf>
    <xf numFmtId="0" fontId="0" fillId="0" borderId="0" xfId="0" applyFont="1"/>
    <xf numFmtId="0" fontId="0" fillId="0" borderId="0" xfId="0" applyAlignment="1">
      <alignment horizontal="center" wrapText="1"/>
    </xf>
    <xf numFmtId="166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 applyAlignment="1"/>
    <xf numFmtId="0" fontId="0" fillId="0" borderId="0" xfId="0" applyAlignment="1"/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wrapText="1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0"/>
  <sheetViews>
    <sheetView tabSelected="1" zoomScaleNormal="100" workbookViewId="0"/>
  </sheetViews>
  <sheetFormatPr defaultRowHeight="15" x14ac:dyDescent="0.25"/>
  <cols>
    <col min="1" max="1" width="12.85546875" customWidth="1"/>
    <col min="2" max="2" width="10.28515625" customWidth="1"/>
    <col min="3" max="3" width="16.7109375" customWidth="1"/>
    <col min="4" max="4" width="10.28515625" customWidth="1"/>
    <col min="5" max="5" width="10.5703125" customWidth="1"/>
    <col min="6" max="6" width="10.85546875" customWidth="1"/>
    <col min="7" max="7" width="9.5703125" customWidth="1"/>
    <col min="8" max="8" width="8.85546875" customWidth="1"/>
    <col min="9" max="9" width="5.28515625" customWidth="1"/>
    <col min="10" max="10" width="5.42578125" customWidth="1"/>
    <col min="11" max="11" width="5" customWidth="1"/>
    <col min="12" max="12" width="10.42578125" customWidth="1"/>
    <col min="13" max="13" width="10.7109375" customWidth="1"/>
    <col min="14" max="14" width="9.28515625" customWidth="1"/>
    <col min="15" max="15" width="14.85546875" customWidth="1"/>
    <col min="16" max="16" width="12.140625" customWidth="1"/>
    <col min="17" max="17" width="8.7109375" customWidth="1"/>
    <col min="18" max="18" width="11.28515625" customWidth="1"/>
    <col min="19" max="19" width="11" customWidth="1"/>
    <col min="20" max="20" width="14.140625" customWidth="1"/>
    <col min="21" max="21" width="8.28515625" customWidth="1"/>
    <col min="22" max="22" width="10" customWidth="1"/>
    <col min="23" max="23" width="9.5703125" customWidth="1"/>
    <col min="24" max="24" width="14.7109375" customWidth="1"/>
    <col min="26" max="26" width="10.140625" customWidth="1"/>
    <col min="27" max="27" width="11.7109375" customWidth="1"/>
    <col min="30" max="30" width="12.7109375" customWidth="1"/>
  </cols>
  <sheetData>
    <row r="1" spans="1:27" ht="60" x14ac:dyDescent="0.25">
      <c r="B1" s="21"/>
      <c r="D1" s="21" t="s">
        <v>95</v>
      </c>
      <c r="E1" s="21" t="s">
        <v>19</v>
      </c>
      <c r="F1" s="21" t="s">
        <v>96</v>
      </c>
      <c r="T1" s="22"/>
      <c r="U1" s="22"/>
      <c r="V1" s="22"/>
      <c r="W1" s="22"/>
      <c r="X1" s="22"/>
      <c r="Y1" s="22"/>
      <c r="Z1" s="22"/>
      <c r="AA1" s="22"/>
    </row>
    <row r="2" spans="1:27" x14ac:dyDescent="0.25">
      <c r="A2" s="2" t="s">
        <v>0</v>
      </c>
      <c r="B2" s="1"/>
      <c r="D2">
        <v>500</v>
      </c>
      <c r="E2">
        <v>200</v>
      </c>
      <c r="F2">
        <v>100</v>
      </c>
      <c r="T2" s="22"/>
      <c r="U2" s="22"/>
      <c r="V2" s="22"/>
      <c r="W2" s="22"/>
      <c r="X2" s="22"/>
      <c r="Y2" s="22"/>
      <c r="Z2" s="22"/>
      <c r="AA2" s="22"/>
    </row>
    <row r="3" spans="1:27" ht="15" customHeight="1" x14ac:dyDescent="0.25">
      <c r="A3">
        <v>20</v>
      </c>
      <c r="B3" s="25" t="s">
        <v>118</v>
      </c>
      <c r="C3" t="s">
        <v>87</v>
      </c>
      <c r="T3" s="23"/>
      <c r="U3" s="23"/>
      <c r="V3" s="23"/>
      <c r="W3" s="23"/>
    </row>
    <row r="4" spans="1:27" ht="46.9" customHeight="1" x14ac:dyDescent="0.25">
      <c r="A4" s="17" t="s">
        <v>116</v>
      </c>
      <c r="B4" s="17"/>
      <c r="C4" s="17"/>
      <c r="D4" s="17" t="s">
        <v>2</v>
      </c>
      <c r="E4" s="17" t="s">
        <v>4</v>
      </c>
      <c r="F4" s="17" t="s">
        <v>5</v>
      </c>
      <c r="G4" s="17" t="s">
        <v>6</v>
      </c>
      <c r="H4" s="29" t="s">
        <v>10</v>
      </c>
      <c r="I4" s="30"/>
      <c r="J4" s="17" t="s">
        <v>83</v>
      </c>
      <c r="L4" s="17" t="s">
        <v>104</v>
      </c>
      <c r="M4" s="17" t="s">
        <v>12</v>
      </c>
      <c r="N4" s="17" t="s">
        <v>117</v>
      </c>
      <c r="O4" s="6" t="s">
        <v>11</v>
      </c>
      <c r="P4" s="17" t="s">
        <v>43</v>
      </c>
      <c r="Q4" s="17" t="s">
        <v>45</v>
      </c>
      <c r="R4" s="17" t="s">
        <v>44</v>
      </c>
      <c r="S4" s="17" t="s">
        <v>46</v>
      </c>
      <c r="X4" s="17"/>
      <c r="Y4" s="17"/>
    </row>
    <row r="5" spans="1:27" ht="15.75" customHeight="1" x14ac:dyDescent="0.25">
      <c r="A5" s="3" t="s">
        <v>50</v>
      </c>
      <c r="B5" t="s">
        <v>100</v>
      </c>
      <c r="D5">
        <f>A3*0.65</f>
        <v>13</v>
      </c>
      <c r="E5">
        <v>2400</v>
      </c>
      <c r="F5" s="4">
        <f>SQRT(D5*4*1000/E5/3.14159)*1000</f>
        <v>2626.1607007300586</v>
      </c>
      <c r="G5">
        <v>2650</v>
      </c>
      <c r="H5" s="4">
        <v>10</v>
      </c>
      <c r="I5" s="4"/>
      <c r="J5" t="s">
        <v>84</v>
      </c>
      <c r="L5" s="5">
        <f>3.14159*G5*E5*H5*7.85*1.5/1000000</f>
        <v>2352.7053351</v>
      </c>
      <c r="M5" s="5">
        <f>G5*G5*1.22*1.22*H5*7.85*2/1000000</f>
        <v>1641.0093730000001</v>
      </c>
      <c r="N5" s="5">
        <f t="shared" ref="N5:N14" si="0">(K5+L5)*0.2</f>
        <v>470.54106702000001</v>
      </c>
      <c r="O5" s="7">
        <f>(L5+M5+N5)*E2*1.4</f>
        <v>1249991.6170335999</v>
      </c>
      <c r="P5" s="5">
        <f t="shared" ref="P5:P14" si="1">L5+M5+N5</f>
        <v>4464.2557751200002</v>
      </c>
      <c r="Q5">
        <f>D5*1500</f>
        <v>19500</v>
      </c>
      <c r="R5" s="16">
        <f t="shared" ref="R5:R14" si="2">P5+Q5</f>
        <v>23964.25577512</v>
      </c>
      <c r="S5" s="16">
        <f>R5*1.5</f>
        <v>35946.383662680004</v>
      </c>
      <c r="X5" s="31"/>
      <c r="Y5" s="31"/>
    </row>
    <row r="6" spans="1:27" ht="15.75" customHeight="1" x14ac:dyDescent="0.25">
      <c r="A6" s="3" t="s">
        <v>99</v>
      </c>
      <c r="B6" t="s">
        <v>98</v>
      </c>
      <c r="C6" s="17"/>
      <c r="D6" s="14">
        <f>A3*0.2</f>
        <v>4</v>
      </c>
      <c r="E6" s="14">
        <v>1200</v>
      </c>
      <c r="F6" s="15">
        <f>SQRT(D6*4*1000/E6/3.14159)*1000</f>
        <v>2060.1299475158567</v>
      </c>
      <c r="G6" s="14">
        <v>2000</v>
      </c>
      <c r="H6" s="15">
        <v>6</v>
      </c>
      <c r="I6" s="16"/>
      <c r="J6" t="s">
        <v>84</v>
      </c>
      <c r="L6" s="5">
        <f>3.14159*G6*E6*H6*7.85/1000000</f>
        <v>355.12533359999992</v>
      </c>
      <c r="M6" s="5">
        <f>G6*G6*1.22*1.22*H6*7.85*2/1000000</f>
        <v>560.82911999999999</v>
      </c>
      <c r="N6" s="5">
        <f t="shared" si="0"/>
        <v>71.025066719999984</v>
      </c>
      <c r="O6" s="7">
        <f>(L6+M6+N6)*E2</f>
        <v>197395.90406399997</v>
      </c>
      <c r="P6" s="5">
        <f t="shared" si="1"/>
        <v>986.97952031999989</v>
      </c>
      <c r="Q6">
        <f>D6*1500</f>
        <v>6000</v>
      </c>
      <c r="R6" s="16">
        <f t="shared" si="2"/>
        <v>6986.9795203200001</v>
      </c>
      <c r="S6" s="16">
        <f t="shared" ref="S6:S14" si="3">R6</f>
        <v>6986.9795203200001</v>
      </c>
      <c r="X6" s="5"/>
      <c r="Y6" s="4"/>
    </row>
    <row r="7" spans="1:27" ht="15.75" customHeight="1" x14ac:dyDescent="0.25">
      <c r="A7" s="3" t="s">
        <v>49</v>
      </c>
      <c r="B7" t="s">
        <v>80</v>
      </c>
      <c r="C7" s="17"/>
      <c r="D7" s="14">
        <f>A3*0.6</f>
        <v>12</v>
      </c>
      <c r="E7" s="14">
        <v>2400</v>
      </c>
      <c r="F7" s="15">
        <f>SQRT(D7*4*1000/E7/3.14159)*1000</f>
        <v>2523.1335876202693</v>
      </c>
      <c r="G7" s="14">
        <v>2500</v>
      </c>
      <c r="H7" s="15">
        <v>6</v>
      </c>
      <c r="I7" s="16"/>
      <c r="J7" t="s">
        <v>84</v>
      </c>
      <c r="L7" s="5">
        <f>3.14159*G7*E7*H7*7.85*1.5/1000000</f>
        <v>1331.7200009999999</v>
      </c>
      <c r="M7" s="5">
        <f>G7*G7*1.22*1.22*H7*7.85*2/1000000</f>
        <v>876.29549999999995</v>
      </c>
      <c r="N7" s="5">
        <f t="shared" si="0"/>
        <v>266.34400019999998</v>
      </c>
      <c r="O7" s="7">
        <f>(L7+M7+N7)*E2</f>
        <v>494871.90023999993</v>
      </c>
      <c r="P7" s="5">
        <f t="shared" si="1"/>
        <v>2474.3595011999996</v>
      </c>
      <c r="Q7">
        <f>D7*900</f>
        <v>10800</v>
      </c>
      <c r="R7" s="16">
        <f t="shared" si="2"/>
        <v>13274.359501200001</v>
      </c>
      <c r="S7" s="16">
        <f t="shared" si="3"/>
        <v>13274.359501200001</v>
      </c>
      <c r="X7" s="5"/>
      <c r="Y7" s="4"/>
    </row>
    <row r="8" spans="1:27" ht="15.75" customHeight="1" x14ac:dyDescent="0.25">
      <c r="A8" t="s">
        <v>53</v>
      </c>
      <c r="B8" t="s">
        <v>74</v>
      </c>
      <c r="D8">
        <f>A3*0.65</f>
        <v>13</v>
      </c>
      <c r="E8">
        <v>2400</v>
      </c>
      <c r="F8" s="4">
        <f t="shared" ref="F8:F9" si="4">SQRT(D8*4*1000/E8/3.14159)*1000</f>
        <v>2626.1607007300586</v>
      </c>
      <c r="G8">
        <v>2650</v>
      </c>
      <c r="H8" s="4">
        <v>8</v>
      </c>
      <c r="I8" s="4"/>
      <c r="J8" t="s">
        <v>85</v>
      </c>
      <c r="L8" s="5">
        <f>3.14159*G8*E8*H8*8.15/1000000+3.14159*G8*E8*H8*7.85/2000000</f>
        <v>1930.1174978399999</v>
      </c>
      <c r="M8" s="5">
        <f t="shared" ref="M8" si="5">G8*G8*1.22*1.22*H8*8.15*2/1000000</f>
        <v>1362.9784856000001</v>
      </c>
      <c r="N8" s="5">
        <f t="shared" si="0"/>
        <v>386.02349956800003</v>
      </c>
      <c r="O8" s="7">
        <f>(L8+M8+N8)*D2*1.2</f>
        <v>2207471.6898048003</v>
      </c>
      <c r="P8" s="5">
        <f t="shared" si="1"/>
        <v>3679.1194830080003</v>
      </c>
      <c r="Q8">
        <f>D8*1200</f>
        <v>15600</v>
      </c>
      <c r="R8" s="16">
        <f t="shared" si="2"/>
        <v>19279.119483007998</v>
      </c>
      <c r="S8" s="16">
        <f>R8*1.5</f>
        <v>28918.679224511998</v>
      </c>
      <c r="X8" s="5"/>
      <c r="Y8" s="4"/>
    </row>
    <row r="9" spans="1:27" ht="15.75" customHeight="1" x14ac:dyDescent="0.25">
      <c r="A9" t="s">
        <v>51</v>
      </c>
      <c r="B9" t="s">
        <v>108</v>
      </c>
      <c r="D9">
        <f>D8</f>
        <v>13</v>
      </c>
      <c r="E9">
        <v>3600</v>
      </c>
      <c r="F9" s="4">
        <f t="shared" si="4"/>
        <v>2144.2512331128542</v>
      </c>
      <c r="G9">
        <v>2150</v>
      </c>
      <c r="H9" s="4">
        <v>8</v>
      </c>
      <c r="I9" s="4"/>
      <c r="J9" t="s">
        <v>84</v>
      </c>
      <c r="L9" s="5">
        <f>3.14159*G9*E9*H9*7.85/1000000</f>
        <v>1527.0389344799999</v>
      </c>
      <c r="M9" s="5">
        <f>G9*G9*1.22*1.22*H9*7.85*2/1000000</f>
        <v>864.14420239999993</v>
      </c>
      <c r="N9" s="5">
        <f t="shared" si="0"/>
        <v>305.407786896</v>
      </c>
      <c r="O9" s="7">
        <f>(L9+M9+N9)*E2*3*1.25</f>
        <v>2022443.1928319996</v>
      </c>
      <c r="P9" s="5">
        <f t="shared" si="1"/>
        <v>2696.5909237759997</v>
      </c>
      <c r="Q9">
        <f>D9*1200</f>
        <v>15600</v>
      </c>
      <c r="R9" s="16">
        <f t="shared" si="2"/>
        <v>18296.590923775999</v>
      </c>
      <c r="S9" s="16">
        <f t="shared" si="3"/>
        <v>18296.590923775999</v>
      </c>
      <c r="X9" s="28"/>
      <c r="Y9" s="28"/>
    </row>
    <row r="10" spans="1:27" ht="15.75" customHeight="1" x14ac:dyDescent="0.25">
      <c r="A10" t="s">
        <v>54</v>
      </c>
      <c r="B10" t="s">
        <v>109</v>
      </c>
      <c r="D10">
        <f>D8*0.15</f>
        <v>1.95</v>
      </c>
      <c r="E10" s="18">
        <v>2000</v>
      </c>
      <c r="F10" s="4">
        <f>SQRT(D10*4*1000/E10/3.14159)*1000</f>
        <v>1114.1856239831038</v>
      </c>
      <c r="G10">
        <v>1200</v>
      </c>
      <c r="H10" s="4">
        <v>5</v>
      </c>
      <c r="I10" s="4"/>
      <c r="J10" t="s">
        <v>84</v>
      </c>
      <c r="L10" s="5">
        <f>3.14159*G10*E10*H10*7.85*2/1000000</f>
        <v>591.87555599999996</v>
      </c>
      <c r="M10" s="5">
        <f>G10*G10*1.22*1.22*H10*7.85*2/1000000</f>
        <v>168.24873600000001</v>
      </c>
      <c r="N10" s="5">
        <f t="shared" si="0"/>
        <v>118.37511119999999</v>
      </c>
      <c r="O10" s="7">
        <f>(L10+M10+N10)*E2*2</f>
        <v>351399.76127999998</v>
      </c>
      <c r="P10" s="5">
        <f t="shared" si="1"/>
        <v>878.49940319999996</v>
      </c>
      <c r="Q10">
        <f>D10*1000</f>
        <v>1950</v>
      </c>
      <c r="R10" s="16">
        <f t="shared" si="2"/>
        <v>2828.4994032</v>
      </c>
      <c r="S10" s="16">
        <f t="shared" si="3"/>
        <v>2828.4994032</v>
      </c>
      <c r="X10" s="5"/>
      <c r="Y10" s="4"/>
    </row>
    <row r="11" spans="1:27" ht="15.75" customHeight="1" x14ac:dyDescent="0.25">
      <c r="A11" t="s">
        <v>52</v>
      </c>
      <c r="B11" t="s">
        <v>82</v>
      </c>
      <c r="D11">
        <f>D8*0.8</f>
        <v>10.4</v>
      </c>
      <c r="E11" s="18">
        <v>2500</v>
      </c>
      <c r="F11" s="4">
        <f>SQRT(D11*4*1000/E11/3.14159)*1000</f>
        <v>2301.4519286774826</v>
      </c>
      <c r="G11">
        <v>2300</v>
      </c>
      <c r="H11" s="4">
        <v>5</v>
      </c>
      <c r="I11" s="4"/>
      <c r="J11" t="s">
        <v>84</v>
      </c>
      <c r="L11" s="5">
        <f>3.14159*G11*E11*H11*7.85*2/1000000</f>
        <v>1418.0351862499999</v>
      </c>
      <c r="M11" s="5">
        <f>G11*G11*1.22*1.22*H11*7.85*2/1000000</f>
        <v>618.08042599999999</v>
      </c>
      <c r="N11" s="5">
        <f t="shared" si="0"/>
        <v>283.60703725000002</v>
      </c>
      <c r="O11" s="7">
        <f>(L11+M11+N11)*E2*1.4</f>
        <v>649522.34186000004</v>
      </c>
      <c r="P11" s="5">
        <f t="shared" si="1"/>
        <v>2319.7226495</v>
      </c>
      <c r="Q11">
        <f>D11*1200</f>
        <v>12480</v>
      </c>
      <c r="R11" s="16">
        <f t="shared" si="2"/>
        <v>14799.7226495</v>
      </c>
      <c r="S11" s="16">
        <f t="shared" si="3"/>
        <v>14799.7226495</v>
      </c>
      <c r="X11" s="5"/>
      <c r="Y11" s="4"/>
    </row>
    <row r="12" spans="1:27" ht="15.75" customHeight="1" x14ac:dyDescent="0.25">
      <c r="A12" t="s">
        <v>92</v>
      </c>
      <c r="B12" t="s">
        <v>110</v>
      </c>
      <c r="E12" s="18">
        <v>3000</v>
      </c>
      <c r="F12" s="4">
        <v>300</v>
      </c>
      <c r="G12">
        <v>300</v>
      </c>
      <c r="H12" s="4">
        <v>3</v>
      </c>
      <c r="I12" s="4"/>
      <c r="J12" t="s">
        <v>84</v>
      </c>
      <c r="L12" s="5">
        <f>3.14159*G12*E12*H12*7.85/1000000</f>
        <v>66.586000049999996</v>
      </c>
      <c r="M12" s="5">
        <f>G12*G12*1.22*1.22*H12*7.85*2/1000000</f>
        <v>6.3093275999999996</v>
      </c>
      <c r="N12" s="5">
        <f t="shared" si="0"/>
        <v>13.317200010000001</v>
      </c>
      <c r="O12" s="7">
        <f>(L12+M12+N12)*E2*3*5</f>
        <v>258637.58298000004</v>
      </c>
      <c r="P12" s="5">
        <f t="shared" si="1"/>
        <v>86.212527660000006</v>
      </c>
      <c r="Q12">
        <v>100</v>
      </c>
      <c r="R12" s="16">
        <f t="shared" si="2"/>
        <v>186.21252766000001</v>
      </c>
      <c r="S12" s="16">
        <f t="shared" si="3"/>
        <v>186.21252766000001</v>
      </c>
      <c r="X12" s="5"/>
      <c r="Y12" s="4"/>
    </row>
    <row r="13" spans="1:27" ht="15.75" customHeight="1" x14ac:dyDescent="0.25">
      <c r="A13" t="s">
        <v>55</v>
      </c>
      <c r="B13" t="s">
        <v>106</v>
      </c>
      <c r="D13">
        <f>D5*0.01</f>
        <v>0.13</v>
      </c>
      <c r="E13">
        <v>2400</v>
      </c>
      <c r="F13" s="4">
        <f>SQRT(D13*4*1000/E13/3.14159)*1000</f>
        <v>262.61607007300586</v>
      </c>
      <c r="G13">
        <v>300</v>
      </c>
      <c r="H13" s="4">
        <v>3</v>
      </c>
      <c r="I13" s="4"/>
      <c r="J13" t="s">
        <v>89</v>
      </c>
      <c r="L13" s="5">
        <f>3.14159*G13*E13*H13*8.15/1000000</f>
        <v>55.30455036</v>
      </c>
      <c r="M13" s="5">
        <f>G13*G13*1.05*1.05*(K13+H13)*8.15*2/1000000</f>
        <v>4.8521025</v>
      </c>
      <c r="N13" s="5">
        <f t="shared" si="0"/>
        <v>11.060910072</v>
      </c>
      <c r="O13" s="7">
        <f>(L13+M13+N13)*D2*2</f>
        <v>71217.562932000001</v>
      </c>
      <c r="P13" s="5">
        <f t="shared" si="1"/>
        <v>71.217562932000007</v>
      </c>
      <c r="Q13">
        <f t="shared" ref="Q13:Q14" si="6">D13*800</f>
        <v>104</v>
      </c>
      <c r="R13" s="16">
        <f t="shared" si="2"/>
        <v>175.21756293200002</v>
      </c>
      <c r="S13" s="16">
        <f t="shared" si="3"/>
        <v>175.21756293200002</v>
      </c>
      <c r="X13" s="28"/>
      <c r="Y13" s="28"/>
    </row>
    <row r="14" spans="1:27" ht="15.75" customHeight="1" x14ac:dyDescent="0.25">
      <c r="A14" t="s">
        <v>56</v>
      </c>
      <c r="B14" t="s">
        <v>111</v>
      </c>
      <c r="D14">
        <f>D8*0.02</f>
        <v>0.26</v>
      </c>
      <c r="E14">
        <v>2400</v>
      </c>
      <c r="F14" s="4">
        <f>SQRT(D14*4*1000/E14/3.14159)*1000</f>
        <v>371.39520799436792</v>
      </c>
      <c r="G14">
        <v>300</v>
      </c>
      <c r="H14" s="4">
        <v>3</v>
      </c>
      <c r="I14" s="4"/>
      <c r="J14" t="s">
        <v>84</v>
      </c>
      <c r="L14" s="5">
        <f>3.14159*G14*E14*H14*7.85/1000000</f>
        <v>53.268800039999995</v>
      </c>
      <c r="M14" s="5">
        <f>G14*G14*1.05*1.05*(K14+H14)*7.85*2/1000000</f>
        <v>4.6734974999999999</v>
      </c>
      <c r="N14" s="5">
        <f t="shared" si="0"/>
        <v>10.653760007999999</v>
      </c>
      <c r="O14" s="7">
        <f>(L14+M14+N14)*E2*2</f>
        <v>27438.423019200003</v>
      </c>
      <c r="P14" s="5">
        <f t="shared" si="1"/>
        <v>68.596057548000005</v>
      </c>
      <c r="Q14">
        <f t="shared" si="6"/>
        <v>208</v>
      </c>
      <c r="R14" s="16">
        <f t="shared" si="2"/>
        <v>276.59605754799998</v>
      </c>
      <c r="S14" s="16">
        <f t="shared" si="3"/>
        <v>276.59605754799998</v>
      </c>
      <c r="X14" s="5"/>
      <c r="Y14" s="4"/>
    </row>
    <row r="15" spans="1:27" ht="15.75" customHeight="1" x14ac:dyDescent="0.25">
      <c r="A15" t="s">
        <v>97</v>
      </c>
      <c r="B15" t="s">
        <v>105</v>
      </c>
      <c r="C15" s="5"/>
      <c r="D15" s="20">
        <f t="shared" ref="D15:D16" si="7">3.14159*0.019*E15*14/1000</f>
        <v>2.0055910559999997</v>
      </c>
      <c r="E15">
        <v>2400</v>
      </c>
      <c r="J15" t="s">
        <v>84</v>
      </c>
      <c r="O15" s="7">
        <v>400000</v>
      </c>
      <c r="X15" s="5"/>
      <c r="Y15" s="4"/>
    </row>
    <row r="16" spans="1:27" ht="15.75" customHeight="1" x14ac:dyDescent="0.25">
      <c r="A16" t="s">
        <v>90</v>
      </c>
      <c r="B16" t="s">
        <v>91</v>
      </c>
      <c r="D16" s="20">
        <f t="shared" si="7"/>
        <v>2.5069888200000001</v>
      </c>
      <c r="E16">
        <v>3000</v>
      </c>
      <c r="J16" t="s">
        <v>84</v>
      </c>
      <c r="O16" s="7">
        <v>150000</v>
      </c>
      <c r="X16" s="5"/>
    </row>
    <row r="17" spans="1:25" ht="15.75" customHeight="1" x14ac:dyDescent="0.25">
      <c r="A17" t="s">
        <v>93</v>
      </c>
      <c r="B17" t="s">
        <v>113</v>
      </c>
      <c r="D17" s="20">
        <f>3.14159*0.019*E17*10/1000</f>
        <v>1.1938041999999998</v>
      </c>
      <c r="E17">
        <v>2000</v>
      </c>
      <c r="J17" t="s">
        <v>84</v>
      </c>
      <c r="O17" s="7">
        <v>100000</v>
      </c>
      <c r="X17" s="28"/>
      <c r="Y17" s="28"/>
    </row>
    <row r="18" spans="1:25" ht="15.75" customHeight="1" x14ac:dyDescent="0.25">
      <c r="A18" t="s">
        <v>94</v>
      </c>
      <c r="B18" t="s">
        <v>114</v>
      </c>
      <c r="D18" s="20">
        <f>3.14159*0.019*E18*10/1000</f>
        <v>1.4922552499999997</v>
      </c>
      <c r="E18">
        <v>2500</v>
      </c>
      <c r="J18" t="s">
        <v>84</v>
      </c>
      <c r="O18" s="7">
        <v>100000</v>
      </c>
      <c r="X18" s="5"/>
      <c r="Y18" s="4"/>
    </row>
    <row r="19" spans="1:25" ht="15.75" customHeight="1" x14ac:dyDescent="0.25">
      <c r="A19" t="s">
        <v>107</v>
      </c>
      <c r="B19" t="s">
        <v>112</v>
      </c>
      <c r="D19" s="20"/>
      <c r="O19" s="7">
        <v>300000</v>
      </c>
      <c r="T19" s="7"/>
      <c r="U19" s="13"/>
      <c r="V19" s="5"/>
      <c r="W19" s="5"/>
      <c r="X19" s="5"/>
      <c r="Y19" s="4"/>
    </row>
    <row r="20" spans="1:25" ht="15.75" customHeight="1" x14ac:dyDescent="0.25">
      <c r="A20" t="s">
        <v>60</v>
      </c>
      <c r="B20" t="s">
        <v>75</v>
      </c>
      <c r="D20">
        <v>100</v>
      </c>
      <c r="E20">
        <v>5000</v>
      </c>
      <c r="F20" s="4">
        <f t="shared" ref="F20:F25" si="8">SQRT(D20*4*1000/E20/3.14159)*1000</f>
        <v>5046.2671752405386</v>
      </c>
      <c r="G20">
        <v>5000</v>
      </c>
      <c r="H20" s="4">
        <v>8</v>
      </c>
      <c r="I20" s="4">
        <v>6</v>
      </c>
      <c r="J20" t="s">
        <v>84</v>
      </c>
      <c r="K20" s="5"/>
      <c r="L20" s="5">
        <f t="shared" ref="L20:L25" si="9">3.14159*G20*E20*(H20+I20)*7.85/2000000</f>
        <v>4315.7592624999997</v>
      </c>
      <c r="M20" s="5">
        <f t="shared" ref="M20:M25" si="10">G20*G20*1.05*1.05*(I20+H20)*7.85/1000000</f>
        <v>3029.1187500000001</v>
      </c>
      <c r="N20" s="5">
        <f t="shared" ref="N20:N25" si="11">(K20+L20)*0.2</f>
        <v>863.15185250000002</v>
      </c>
      <c r="O20" s="7">
        <f>(L20+M20+N20)*F2*2</f>
        <v>1641605.9729999998</v>
      </c>
      <c r="P20" s="5">
        <f t="shared" ref="P20:P25" si="12">L20+M20+N20</f>
        <v>8208.0298649999986</v>
      </c>
      <c r="Q20">
        <f>D20*900</f>
        <v>90000</v>
      </c>
      <c r="R20" s="16">
        <f t="shared" ref="R20:R25" si="13">P20+Q20</f>
        <v>98208.029865000004</v>
      </c>
      <c r="S20" s="16">
        <f>R20</f>
        <v>98208.029865000004</v>
      </c>
      <c r="T20" s="4"/>
      <c r="U20" s="4"/>
      <c r="W20" s="9"/>
    </row>
    <row r="21" spans="1:25" ht="15.75" customHeight="1" x14ac:dyDescent="0.25">
      <c r="A21" t="s">
        <v>61</v>
      </c>
      <c r="B21" t="s">
        <v>76</v>
      </c>
      <c r="D21">
        <v>100</v>
      </c>
      <c r="E21">
        <v>5000</v>
      </c>
      <c r="F21" s="4">
        <f t="shared" si="8"/>
        <v>5046.2671752405386</v>
      </c>
      <c r="G21">
        <v>5000</v>
      </c>
      <c r="H21" s="4">
        <v>8</v>
      </c>
      <c r="I21" s="4">
        <v>6</v>
      </c>
      <c r="J21" t="s">
        <v>84</v>
      </c>
      <c r="K21" s="5"/>
      <c r="L21" s="5">
        <f t="shared" si="9"/>
        <v>4315.7592624999997</v>
      </c>
      <c r="M21" s="5">
        <f t="shared" si="10"/>
        <v>3029.1187500000001</v>
      </c>
      <c r="N21" s="5">
        <f t="shared" si="11"/>
        <v>863.15185250000002</v>
      </c>
      <c r="O21" s="7">
        <f>(L21+M21+N21)*F2*2</f>
        <v>1641605.9729999998</v>
      </c>
      <c r="P21" s="5">
        <f t="shared" si="12"/>
        <v>8208.0298649999986</v>
      </c>
      <c r="Q21">
        <f>D21*900</f>
        <v>90000</v>
      </c>
      <c r="R21" s="16">
        <f t="shared" si="13"/>
        <v>98208.029865000004</v>
      </c>
      <c r="S21" s="16">
        <f t="shared" ref="S21:S25" si="14">R21</f>
        <v>98208.029865000004</v>
      </c>
      <c r="T21" s="4"/>
      <c r="U21" s="4"/>
      <c r="W21" s="9"/>
    </row>
    <row r="22" spans="1:25" ht="15.75" customHeight="1" x14ac:dyDescent="0.25">
      <c r="A22" t="s">
        <v>14</v>
      </c>
      <c r="B22" t="s">
        <v>77</v>
      </c>
      <c r="D22">
        <v>25</v>
      </c>
      <c r="E22">
        <v>3000</v>
      </c>
      <c r="F22" s="4">
        <f t="shared" si="8"/>
        <v>3257.3514550366253</v>
      </c>
      <c r="G22">
        <v>3000</v>
      </c>
      <c r="H22" s="4">
        <v>6</v>
      </c>
      <c r="I22" s="4">
        <v>5</v>
      </c>
      <c r="J22" t="s">
        <v>84</v>
      </c>
      <c r="K22" s="5"/>
      <c r="L22" s="5">
        <f t="shared" si="9"/>
        <v>1220.7433342500001</v>
      </c>
      <c r="M22" s="5">
        <f t="shared" si="10"/>
        <v>856.80787499999997</v>
      </c>
      <c r="N22" s="5">
        <f t="shared" si="11"/>
        <v>244.14866685000004</v>
      </c>
      <c r="O22" s="7">
        <f>(L22+M22+N22)*F2*2</f>
        <v>464339.97522000008</v>
      </c>
      <c r="P22" s="5">
        <f t="shared" si="12"/>
        <v>2321.6998761000004</v>
      </c>
      <c r="Q22">
        <f>D22*1500</f>
        <v>37500</v>
      </c>
      <c r="R22" s="16">
        <f t="shared" si="13"/>
        <v>39821.6998761</v>
      </c>
      <c r="S22" s="16">
        <f t="shared" si="14"/>
        <v>39821.6998761</v>
      </c>
    </row>
    <row r="23" spans="1:25" ht="15.75" customHeight="1" x14ac:dyDescent="0.25">
      <c r="A23" t="s">
        <v>59</v>
      </c>
      <c r="B23" t="s">
        <v>81</v>
      </c>
      <c r="D23">
        <v>20</v>
      </c>
      <c r="E23">
        <v>3600</v>
      </c>
      <c r="F23" s="4">
        <f t="shared" si="8"/>
        <v>2659.6163259173577</v>
      </c>
      <c r="G23" s="4">
        <v>2500</v>
      </c>
      <c r="H23" s="4">
        <v>6</v>
      </c>
      <c r="I23" s="4"/>
      <c r="J23" s="4"/>
      <c r="K23" s="5"/>
      <c r="L23" s="5">
        <f t="shared" si="9"/>
        <v>665.86000049999984</v>
      </c>
      <c r="M23" s="5">
        <f t="shared" ref="M23" si="15">G23*G23*1.05*1.05*(K23+H23)*7.85/1000000</f>
        <v>324.54843749999998</v>
      </c>
      <c r="N23" s="5">
        <f t="shared" si="11"/>
        <v>133.17200009999996</v>
      </c>
      <c r="O23" s="7">
        <f>(L23+M23+N23)*F2*2</f>
        <v>224716.08761999995</v>
      </c>
      <c r="P23" s="5">
        <f t="shared" si="12"/>
        <v>1123.5804380999998</v>
      </c>
      <c r="Q23">
        <f>D23*1500</f>
        <v>30000</v>
      </c>
      <c r="R23" s="16">
        <f t="shared" si="13"/>
        <v>31123.580438099998</v>
      </c>
      <c r="S23" s="16">
        <f t="shared" si="14"/>
        <v>31123.580438099998</v>
      </c>
    </row>
    <row r="24" spans="1:25" ht="15.75" customHeight="1" x14ac:dyDescent="0.25">
      <c r="A24" t="s">
        <v>58</v>
      </c>
      <c r="B24" t="s">
        <v>78</v>
      </c>
      <c r="D24">
        <v>25</v>
      </c>
      <c r="E24">
        <v>3000</v>
      </c>
      <c r="F24" s="4">
        <f t="shared" si="8"/>
        <v>3257.3514550366253</v>
      </c>
      <c r="G24">
        <v>3000</v>
      </c>
      <c r="H24" s="4">
        <v>6</v>
      </c>
      <c r="I24" s="4">
        <v>5</v>
      </c>
      <c r="J24" t="s">
        <v>84</v>
      </c>
      <c r="K24" s="5"/>
      <c r="L24" s="5">
        <f t="shared" si="9"/>
        <v>1220.7433342500001</v>
      </c>
      <c r="M24" s="5">
        <f t="shared" si="10"/>
        <v>856.80787499999997</v>
      </c>
      <c r="N24" s="5">
        <f t="shared" si="11"/>
        <v>244.14866685000004</v>
      </c>
      <c r="O24" s="7">
        <f>(L24+M24+N24)*F2*2</f>
        <v>464339.97522000008</v>
      </c>
      <c r="P24" s="5">
        <f t="shared" si="12"/>
        <v>2321.6998761000004</v>
      </c>
      <c r="Q24">
        <f>D24*1000</f>
        <v>25000</v>
      </c>
      <c r="R24" s="16">
        <f t="shared" si="13"/>
        <v>27321.6998761</v>
      </c>
      <c r="S24" s="16">
        <f t="shared" si="14"/>
        <v>27321.6998761</v>
      </c>
    </row>
    <row r="25" spans="1:25" ht="15.75" customHeight="1" x14ac:dyDescent="0.25">
      <c r="A25" t="s">
        <v>57</v>
      </c>
      <c r="B25" t="s">
        <v>79</v>
      </c>
      <c r="D25">
        <v>20</v>
      </c>
      <c r="E25">
        <v>3000</v>
      </c>
      <c r="F25" s="4">
        <f t="shared" si="8"/>
        <v>2913.4637120278971</v>
      </c>
      <c r="G25">
        <v>3000</v>
      </c>
      <c r="H25" s="4">
        <v>6</v>
      </c>
      <c r="I25" s="4">
        <v>5</v>
      </c>
      <c r="J25" t="s">
        <v>84</v>
      </c>
      <c r="K25" s="5"/>
      <c r="L25" s="5">
        <f t="shared" si="9"/>
        <v>1220.7433342500001</v>
      </c>
      <c r="M25" s="5">
        <f t="shared" si="10"/>
        <v>856.80787499999997</v>
      </c>
      <c r="N25" s="5">
        <f t="shared" si="11"/>
        <v>244.14866685000004</v>
      </c>
      <c r="O25" s="7">
        <f>(L25+M25+N25)*F2*2</f>
        <v>464339.97522000008</v>
      </c>
      <c r="P25" s="5">
        <f t="shared" si="12"/>
        <v>2321.6998761000004</v>
      </c>
      <c r="Q25">
        <f t="shared" ref="Q25" si="16">D25*800</f>
        <v>16000</v>
      </c>
      <c r="R25" s="16">
        <f t="shared" si="13"/>
        <v>18321.6998761</v>
      </c>
      <c r="S25" s="16">
        <f t="shared" si="14"/>
        <v>18321.6998761</v>
      </c>
      <c r="T25" s="4"/>
      <c r="U25" s="4"/>
      <c r="W25" s="9"/>
    </row>
    <row r="26" spans="1:25" ht="15.75" customHeight="1" x14ac:dyDescent="0.25">
      <c r="H26" s="4"/>
      <c r="I26" s="4"/>
      <c r="K26" s="5"/>
      <c r="L26" s="5"/>
      <c r="M26" s="5"/>
      <c r="N26" s="5"/>
      <c r="O26" s="7"/>
      <c r="P26" s="5"/>
      <c r="R26" s="16"/>
      <c r="S26" s="16"/>
      <c r="T26" s="4"/>
      <c r="U26" s="4"/>
      <c r="W26" s="9"/>
    </row>
    <row r="27" spans="1:25" ht="15.75" customHeight="1" x14ac:dyDescent="0.25">
      <c r="H27" s="4"/>
      <c r="I27" s="4"/>
      <c r="K27" s="5"/>
      <c r="L27" s="5"/>
      <c r="M27" s="5"/>
      <c r="N27" t="s">
        <v>13</v>
      </c>
      <c r="O27" s="7">
        <f>SUM(O5:O25)</f>
        <v>13481337.935325598</v>
      </c>
      <c r="P27" s="5"/>
      <c r="R27" s="16"/>
      <c r="S27" s="16"/>
      <c r="T27" s="4"/>
      <c r="U27" s="4"/>
      <c r="W27" s="9"/>
    </row>
    <row r="28" spans="1:25" ht="15.75" customHeight="1" x14ac:dyDescent="0.25">
      <c r="A28" s="26" t="s">
        <v>119</v>
      </c>
      <c r="P28" s="7"/>
      <c r="Q28" s="7"/>
      <c r="R28" s="7"/>
      <c r="S28" s="7"/>
      <c r="T28" s="4"/>
      <c r="U28" s="4"/>
      <c r="W28" s="9"/>
    </row>
    <row r="29" spans="1:25" ht="15.75" customHeight="1" x14ac:dyDescent="0.25">
      <c r="A29" t="s">
        <v>103</v>
      </c>
      <c r="E29" t="s">
        <v>102</v>
      </c>
      <c r="F29">
        <f>F31/2000</f>
        <v>1.2277777777777779</v>
      </c>
      <c r="G29">
        <v>1.5</v>
      </c>
      <c r="O29" s="7"/>
      <c r="P29" s="7"/>
      <c r="Q29" s="7"/>
      <c r="R29" s="7"/>
      <c r="S29" s="7"/>
      <c r="T29" s="4"/>
      <c r="U29" s="4"/>
      <c r="W29" s="9"/>
    </row>
    <row r="30" spans="1:25" ht="15.75" customHeight="1" x14ac:dyDescent="0.25">
      <c r="A30" t="s">
        <v>101</v>
      </c>
      <c r="H30" s="5"/>
      <c r="L30" s="5"/>
      <c r="M30" s="5"/>
      <c r="N30" s="5"/>
      <c r="O30" s="7"/>
      <c r="P30" s="5"/>
      <c r="R30" s="5"/>
      <c r="S30" s="5"/>
      <c r="T30" s="4"/>
      <c r="U30" s="4"/>
      <c r="W30" s="9"/>
    </row>
    <row r="31" spans="1:25" ht="15.75" customHeight="1" x14ac:dyDescent="0.25">
      <c r="A31" t="s">
        <v>15</v>
      </c>
      <c r="E31" t="s">
        <v>17</v>
      </c>
      <c r="F31" s="4">
        <f>(D5*2+D8+D10+D10*2+D11)*40000/450/2</f>
        <v>2455.5555555555557</v>
      </c>
      <c r="G31">
        <v>2500</v>
      </c>
      <c r="H31" s="5"/>
      <c r="L31" s="5"/>
      <c r="M31" s="5"/>
      <c r="N31" s="5"/>
      <c r="O31" s="7"/>
      <c r="P31" s="5"/>
      <c r="R31" s="5"/>
      <c r="S31" s="5"/>
      <c r="T31" s="4"/>
      <c r="U31" s="4"/>
      <c r="W31" s="9"/>
    </row>
    <row r="32" spans="1:25" ht="15.75" customHeight="1" x14ac:dyDescent="0.25">
      <c r="A32" t="s">
        <v>16</v>
      </c>
      <c r="E32" t="s">
        <v>18</v>
      </c>
      <c r="G32">
        <f>G31*450/3/600</f>
        <v>625</v>
      </c>
      <c r="H32" s="5"/>
      <c r="L32" s="5"/>
      <c r="M32" s="5"/>
      <c r="N32" s="5"/>
      <c r="O32" s="7"/>
      <c r="P32" s="5"/>
      <c r="R32" s="5"/>
      <c r="S32" s="5"/>
      <c r="T32" s="4"/>
      <c r="U32" s="4"/>
      <c r="W32" s="9"/>
    </row>
    <row r="33" spans="1:30" ht="15.75" customHeight="1" x14ac:dyDescent="0.25">
      <c r="E33" t="s">
        <v>86</v>
      </c>
      <c r="G33" s="4">
        <f>G31/100*7*18</f>
        <v>3150</v>
      </c>
      <c r="H33" s="5"/>
      <c r="L33" s="5"/>
      <c r="M33" s="5"/>
      <c r="N33" s="5"/>
      <c r="O33" s="7"/>
      <c r="P33" s="5"/>
      <c r="R33" s="5"/>
      <c r="S33" s="5"/>
      <c r="T33" s="4"/>
      <c r="U33" s="4"/>
      <c r="W33" s="9"/>
    </row>
    <row r="34" spans="1:30" x14ac:dyDescent="0.25">
      <c r="Y34" s="5"/>
      <c r="Z34" s="5"/>
      <c r="AB34" s="5"/>
      <c r="AD34" s="5"/>
    </row>
    <row r="35" spans="1:30" x14ac:dyDescent="0.25">
      <c r="A35" s="26" t="s">
        <v>42</v>
      </c>
    </row>
    <row r="36" spans="1:30" ht="45" x14ac:dyDescent="0.25">
      <c r="A36" s="6" t="s">
        <v>39</v>
      </c>
      <c r="B36" s="19" t="s">
        <v>88</v>
      </c>
      <c r="C36" s="19" t="s">
        <v>40</v>
      </c>
      <c r="D36" s="19" t="s">
        <v>41</v>
      </c>
    </row>
    <row r="37" spans="1:30" x14ac:dyDescent="0.25">
      <c r="A37" s="7" t="s">
        <v>47</v>
      </c>
      <c r="B37" s="13">
        <f>G32</f>
        <v>625</v>
      </c>
      <c r="C37" s="5">
        <f>SQRT(B37/1000/60/3.14)*1000</f>
        <v>57.596959698011425</v>
      </c>
      <c r="D37" s="5">
        <f>SQRT(B37*3/4/1000/60/3.14)*1000</f>
        <v>49.880430279226381</v>
      </c>
    </row>
    <row r="38" spans="1:30" x14ac:dyDescent="0.25">
      <c r="A38" s="7" t="s">
        <v>62</v>
      </c>
      <c r="B38" s="13">
        <f>D5*1000/15</f>
        <v>866.66666666666663</v>
      </c>
      <c r="C38" s="5">
        <f>SQRT(B38/1000/60/3.14)*1000</f>
        <v>67.82434329071458</v>
      </c>
      <c r="D38" s="5">
        <f>SQRT(B38*3/4/1000/60/3.14)*1000</f>
        <v>58.737604284755491</v>
      </c>
    </row>
    <row r="39" spans="1:30" x14ac:dyDescent="0.25">
      <c r="A39" s="7" t="s">
        <v>63</v>
      </c>
      <c r="B39" s="13">
        <f>D8*1000/15</f>
        <v>866.66666666666663</v>
      </c>
      <c r="C39" s="5">
        <f t="shared" ref="C39:C50" si="17">SQRT(B39/1000/60/3.14)*1000</f>
        <v>67.82434329071458</v>
      </c>
      <c r="D39" s="5">
        <f t="shared" ref="D39:D50" si="18">SQRT(B39*3/4/1000/60/3.14)*1000</f>
        <v>58.737604284755491</v>
      </c>
    </row>
    <row r="40" spans="1:30" x14ac:dyDescent="0.25">
      <c r="A40" s="7" t="s">
        <v>64</v>
      </c>
      <c r="B40" s="13">
        <f>D9*1000*0.1/60</f>
        <v>21.666666666666668</v>
      </c>
      <c r="C40" s="5">
        <f t="shared" si="17"/>
        <v>10.723970280190894</v>
      </c>
      <c r="D40" s="5">
        <f t="shared" si="18"/>
        <v>9.2872306920746368</v>
      </c>
    </row>
    <row r="41" spans="1:30" x14ac:dyDescent="0.25">
      <c r="A41" s="7" t="s">
        <v>48</v>
      </c>
      <c r="B41" s="13">
        <f>D9*1000*0.9/60</f>
        <v>195</v>
      </c>
      <c r="C41" s="5">
        <f t="shared" si="17"/>
        <v>32.171910840572679</v>
      </c>
      <c r="D41" s="5">
        <f t="shared" si="18"/>
        <v>27.861692076223914</v>
      </c>
    </row>
    <row r="42" spans="1:30" x14ac:dyDescent="0.25">
      <c r="A42" s="7" t="s">
        <v>65</v>
      </c>
      <c r="B42" s="13">
        <f>B41</f>
        <v>195</v>
      </c>
      <c r="C42" s="5">
        <f t="shared" si="17"/>
        <v>32.171910840572679</v>
      </c>
      <c r="D42" s="5">
        <f t="shared" si="18"/>
        <v>27.861692076223914</v>
      </c>
    </row>
    <row r="43" spans="1:30" x14ac:dyDescent="0.25">
      <c r="A43" s="7" t="s">
        <v>66</v>
      </c>
      <c r="B43" s="13">
        <f>D10*1000/60</f>
        <v>32.5</v>
      </c>
      <c r="C43" s="5">
        <f t="shared" si="17"/>
        <v>13.134127601619619</v>
      </c>
      <c r="D43" s="5">
        <f t="shared" si="18"/>
        <v>11.374488159548971</v>
      </c>
    </row>
    <row r="44" spans="1:30" x14ac:dyDescent="0.25">
      <c r="A44" s="7" t="s">
        <v>67</v>
      </c>
      <c r="B44" s="13">
        <f>D11*1000/60</f>
        <v>173.33333333333334</v>
      </c>
      <c r="C44" s="5">
        <f t="shared" si="17"/>
        <v>30.331968425463927</v>
      </c>
      <c r="D44" s="5">
        <f t="shared" si="18"/>
        <v>26.268255203239239</v>
      </c>
    </row>
    <row r="45" spans="1:30" x14ac:dyDescent="0.25">
      <c r="A45" s="7" t="s">
        <v>68</v>
      </c>
      <c r="B45" s="13">
        <f>10000/60</f>
        <v>166.66666666666666</v>
      </c>
      <c r="C45" s="5">
        <f t="shared" si="17"/>
        <v>29.742942093677069</v>
      </c>
      <c r="D45" s="5">
        <f t="shared" si="18"/>
        <v>25.75814343641386</v>
      </c>
    </row>
    <row r="46" spans="1:30" x14ac:dyDescent="0.25">
      <c r="A46" s="7" t="s">
        <v>69</v>
      </c>
      <c r="B46" s="13">
        <f>G31*1.2/60</f>
        <v>50</v>
      </c>
      <c r="C46" s="5">
        <f t="shared" si="17"/>
        <v>16.290880311276865</v>
      </c>
      <c r="D46" s="5">
        <f t="shared" si="18"/>
        <v>14.108316199577509</v>
      </c>
    </row>
    <row r="47" spans="1:30" x14ac:dyDescent="0.25">
      <c r="A47" s="7" t="s">
        <v>70</v>
      </c>
      <c r="B47" s="13">
        <f>D6*1000/60</f>
        <v>66.666666666666671</v>
      </c>
      <c r="C47" s="5">
        <f t="shared" si="17"/>
        <v>18.811088266103344</v>
      </c>
      <c r="D47" s="5">
        <f t="shared" si="18"/>
        <v>16.290880311276865</v>
      </c>
    </row>
    <row r="48" spans="1:30" x14ac:dyDescent="0.25">
      <c r="A48" s="7" t="s">
        <v>71</v>
      </c>
      <c r="B48" s="13">
        <f>10000/60</f>
        <v>166.66666666666666</v>
      </c>
      <c r="C48" s="5">
        <f t="shared" si="17"/>
        <v>29.742942093677069</v>
      </c>
      <c r="D48" s="5">
        <f t="shared" si="18"/>
        <v>25.75814343641386</v>
      </c>
    </row>
    <row r="49" spans="1:4" x14ac:dyDescent="0.25">
      <c r="A49" s="7" t="s">
        <v>72</v>
      </c>
      <c r="B49" s="13">
        <f>D7*1000/60</f>
        <v>200</v>
      </c>
      <c r="C49" s="5">
        <f t="shared" si="17"/>
        <v>32.58176062255373</v>
      </c>
      <c r="D49" s="5">
        <f t="shared" si="18"/>
        <v>28.216632399155017</v>
      </c>
    </row>
    <row r="50" spans="1:4" x14ac:dyDescent="0.25">
      <c r="A50" s="7" t="s">
        <v>73</v>
      </c>
      <c r="B50" s="13">
        <f>10000/60</f>
        <v>166.66666666666666</v>
      </c>
      <c r="C50" s="5">
        <f t="shared" si="17"/>
        <v>29.742942093677069</v>
      </c>
      <c r="D50" s="5">
        <f t="shared" si="18"/>
        <v>25.75814343641386</v>
      </c>
    </row>
  </sheetData>
  <mergeCells count="5">
    <mergeCell ref="X17:Y17"/>
    <mergeCell ref="H4:I4"/>
    <mergeCell ref="X5:Y5"/>
    <mergeCell ref="X9:Y9"/>
    <mergeCell ref="X13:Y13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zoomScaleNormal="100" workbookViewId="0">
      <selection sqref="A1:D1"/>
    </sheetView>
  </sheetViews>
  <sheetFormatPr defaultRowHeight="15" x14ac:dyDescent="0.25"/>
  <cols>
    <col min="6" max="6" width="10" customWidth="1"/>
    <col min="10" max="10" width="15.140625" customWidth="1"/>
    <col min="15" max="15" width="13.140625" customWidth="1"/>
    <col min="16" max="16" width="12.140625" customWidth="1"/>
    <col min="17" max="17" width="11.42578125" customWidth="1"/>
  </cols>
  <sheetData>
    <row r="1" spans="1:16" ht="19.5" customHeight="1" x14ac:dyDescent="0.25">
      <c r="A1" s="29" t="s">
        <v>19</v>
      </c>
      <c r="B1" s="29"/>
      <c r="C1" s="29"/>
      <c r="D1" s="29"/>
      <c r="E1">
        <v>200</v>
      </c>
    </row>
    <row r="2" spans="1:16" ht="37.5" customHeight="1" x14ac:dyDescent="0.25">
      <c r="A2" s="27" t="s">
        <v>118</v>
      </c>
      <c r="B2" s="24"/>
      <c r="C2" s="24"/>
      <c r="D2" s="24"/>
    </row>
    <row r="3" spans="1:16" ht="19.5" customHeight="1" x14ac:dyDescent="0.25">
      <c r="A3" t="s">
        <v>34</v>
      </c>
      <c r="B3">
        <v>20000</v>
      </c>
      <c r="C3" t="s">
        <v>35</v>
      </c>
    </row>
    <row r="4" spans="1:16" ht="57" customHeight="1" x14ac:dyDescent="0.25">
      <c r="A4" s="11" t="s">
        <v>3</v>
      </c>
      <c r="B4" s="11" t="s">
        <v>33</v>
      </c>
      <c r="C4" s="11" t="s">
        <v>4</v>
      </c>
      <c r="D4" s="11" t="s">
        <v>5</v>
      </c>
      <c r="E4" s="11" t="s">
        <v>6</v>
      </c>
      <c r="F4" s="11" t="s">
        <v>10</v>
      </c>
      <c r="G4" s="11" t="s">
        <v>115</v>
      </c>
      <c r="H4" s="11" t="s">
        <v>12</v>
      </c>
      <c r="I4" s="11" t="s">
        <v>117</v>
      </c>
      <c r="J4" s="10" t="s">
        <v>11</v>
      </c>
      <c r="K4" s="12" t="s">
        <v>43</v>
      </c>
      <c r="L4" s="12" t="s">
        <v>45</v>
      </c>
      <c r="M4" s="12" t="s">
        <v>44</v>
      </c>
      <c r="N4" s="12" t="s">
        <v>46</v>
      </c>
    </row>
    <row r="5" spans="1:16" ht="19.5" customHeight="1" x14ac:dyDescent="0.25">
      <c r="A5" s="3" t="s">
        <v>1</v>
      </c>
      <c r="B5">
        <v>2250</v>
      </c>
      <c r="C5">
        <v>1500</v>
      </c>
      <c r="D5" s="4">
        <f>SQRT(B5*4/C5/3.14159)*1000</f>
        <v>1381.9771815385591</v>
      </c>
      <c r="E5">
        <v>1400</v>
      </c>
      <c r="F5" s="5">
        <v>4</v>
      </c>
      <c r="G5" s="5">
        <f>3.14159*E5*C5*F5*7.85/1000000</f>
        <v>207.15644459999996</v>
      </c>
      <c r="H5" s="5">
        <f>E5*E5*1.22*1.22*F5*7.85*2/1000000</f>
        <v>183.2041792</v>
      </c>
      <c r="I5" s="5">
        <f t="shared" ref="I5:I14" si="0">G5*0.2</f>
        <v>41.431288919999993</v>
      </c>
      <c r="J5" s="7">
        <f>(G5+H5+I5)*E1</f>
        <v>86358.382543999993</v>
      </c>
      <c r="K5" s="5">
        <f t="shared" ref="K5:K14" si="1">G5+H5+I5</f>
        <v>431.79191271999997</v>
      </c>
      <c r="L5" s="5">
        <f>K5*0.8</f>
        <v>345.43353017599998</v>
      </c>
      <c r="M5" s="5">
        <f>K5+L5</f>
        <v>777.225442896</v>
      </c>
      <c r="N5" s="5">
        <f>M5</f>
        <v>777.225442896</v>
      </c>
    </row>
    <row r="6" spans="1:16" ht="19.5" customHeight="1" x14ac:dyDescent="0.25">
      <c r="A6" t="s">
        <v>22</v>
      </c>
      <c r="B6">
        <v>9000</v>
      </c>
      <c r="C6">
        <v>2400</v>
      </c>
      <c r="D6" s="4">
        <f>SQRT(B6*4/C6/3.14159)*1000</f>
        <v>2185.0977840209225</v>
      </c>
      <c r="E6">
        <v>2200</v>
      </c>
      <c r="F6" s="5">
        <v>8</v>
      </c>
      <c r="G6" s="5">
        <f>3.14159*E6*C6*F6*7.85*2/1000000</f>
        <v>2083.4019571199997</v>
      </c>
      <c r="H6" s="5">
        <f>E6*E6*1.22*1.22*F6*7.85*2/1000000</f>
        <v>904.80431359999989</v>
      </c>
      <c r="I6" s="5">
        <f t="shared" si="0"/>
        <v>416.68039142399994</v>
      </c>
      <c r="J6" s="7">
        <f>(G6+H6+I6)*E1</f>
        <v>680977.33242879983</v>
      </c>
      <c r="K6" s="5">
        <f t="shared" si="1"/>
        <v>3404.8866621439993</v>
      </c>
      <c r="L6" s="5">
        <f t="shared" ref="L6:L14" si="2">K6*0.8</f>
        <v>2723.9093297151994</v>
      </c>
      <c r="M6" s="5">
        <f t="shared" ref="M6:M14" si="3">K6+L6</f>
        <v>6128.7959918591987</v>
      </c>
      <c r="N6" s="5">
        <f t="shared" ref="N6:N14" si="4">M6</f>
        <v>6128.7959918591987</v>
      </c>
    </row>
    <row r="7" spans="1:16" ht="19.5" customHeight="1" x14ac:dyDescent="0.25">
      <c r="A7" t="s">
        <v>7</v>
      </c>
      <c r="B7" s="4">
        <f>3.14159*C7*E7*E7/4000000</f>
        <v>248.87283281250001</v>
      </c>
      <c r="C7">
        <v>3000</v>
      </c>
      <c r="D7" s="4"/>
      <c r="E7">
        <v>325</v>
      </c>
      <c r="F7" s="5">
        <v>6</v>
      </c>
      <c r="G7" s="5">
        <f>3.14159*E7*C7*F7*7.85/1000000</f>
        <v>144.26966677500002</v>
      </c>
      <c r="H7" s="5">
        <f>E7*E7*1.22*1.22*F7*7.85/1000000</f>
        <v>7.4046969749999993</v>
      </c>
      <c r="I7" s="5">
        <f t="shared" si="0"/>
        <v>28.853933355000006</v>
      </c>
      <c r="J7" s="7">
        <f>(G7+H7+I7)*E1*1.5</f>
        <v>54158.489131500006</v>
      </c>
      <c r="K7" s="5">
        <f t="shared" si="1"/>
        <v>180.52829710500004</v>
      </c>
      <c r="L7" s="5">
        <f t="shared" si="2"/>
        <v>144.42263768400002</v>
      </c>
      <c r="M7" s="5">
        <f t="shared" si="3"/>
        <v>324.95093478900003</v>
      </c>
      <c r="N7" s="5">
        <f t="shared" si="4"/>
        <v>324.95093478900003</v>
      </c>
    </row>
    <row r="8" spans="1:16" ht="19.5" customHeight="1" x14ac:dyDescent="0.25">
      <c r="A8" t="s">
        <v>23</v>
      </c>
      <c r="B8">
        <v>900</v>
      </c>
      <c r="C8">
        <v>1200</v>
      </c>
      <c r="D8" s="4">
        <f>SQRT(B8*4/C8/3.14159)*1000</f>
        <v>977.20543651098751</v>
      </c>
      <c r="E8">
        <v>1000</v>
      </c>
      <c r="F8" s="5">
        <v>6</v>
      </c>
      <c r="G8" s="5">
        <f>3.14159*E8*C8*F8*7.85/1000000</f>
        <v>177.56266679999996</v>
      </c>
      <c r="H8" s="5">
        <f>E8*E8*1.22*1.22*F8*7.85*2/1000000</f>
        <v>140.20728</v>
      </c>
      <c r="I8" s="5">
        <f t="shared" si="0"/>
        <v>35.512533359999992</v>
      </c>
      <c r="J8" s="7">
        <f>(G8+H8+I8)*E1</f>
        <v>70656.496031999995</v>
      </c>
      <c r="K8" s="5">
        <f t="shared" si="1"/>
        <v>353.28248015999998</v>
      </c>
      <c r="L8" s="5">
        <f t="shared" si="2"/>
        <v>282.62598412799997</v>
      </c>
      <c r="M8" s="5">
        <f t="shared" si="3"/>
        <v>635.908464288</v>
      </c>
      <c r="N8" s="5">
        <f t="shared" si="4"/>
        <v>635.908464288</v>
      </c>
    </row>
    <row r="9" spans="1:16" ht="19.5" customHeight="1" x14ac:dyDescent="0.25">
      <c r="A9" t="s">
        <v>8</v>
      </c>
      <c r="B9">
        <v>4500</v>
      </c>
      <c r="C9" s="8">
        <v>2000</v>
      </c>
      <c r="D9" s="4">
        <f>SQRT(B9*4/C9/3.14159)*1000</f>
        <v>1692.5694654695531</v>
      </c>
      <c r="E9">
        <v>1700</v>
      </c>
      <c r="F9" s="5">
        <v>8</v>
      </c>
      <c r="G9" s="5">
        <f>3.14159*E9*C9*F9*7.85*2/1000000</f>
        <v>1341.5845935999996</v>
      </c>
      <c r="H9" s="5">
        <f>E9*E9*1.22*1.22*F9*7.85*2/1000000</f>
        <v>540.26538560000006</v>
      </c>
      <c r="I9" s="5">
        <f t="shared" si="0"/>
        <v>268.31691871999993</v>
      </c>
      <c r="J9" s="7">
        <f>(G9+H9+I9)*E1</f>
        <v>430033.37958399998</v>
      </c>
      <c r="K9" s="5">
        <f t="shared" si="1"/>
        <v>2150.1668979199999</v>
      </c>
      <c r="L9" s="5">
        <f t="shared" si="2"/>
        <v>1720.133518336</v>
      </c>
      <c r="M9" s="5">
        <f t="shared" si="3"/>
        <v>3870.3004162560001</v>
      </c>
      <c r="N9" s="5">
        <f t="shared" si="4"/>
        <v>3870.3004162560001</v>
      </c>
    </row>
    <row r="10" spans="1:16" ht="19.5" customHeight="1" x14ac:dyDescent="0.25">
      <c r="A10" t="s">
        <v>24</v>
      </c>
      <c r="B10" s="4">
        <f>3.14159*C10*E10*E10/4000000</f>
        <v>497.74566562500002</v>
      </c>
      <c r="C10" s="8">
        <v>6000</v>
      </c>
      <c r="D10" s="4"/>
      <c r="E10">
        <v>325</v>
      </c>
      <c r="F10" s="5">
        <v>6</v>
      </c>
      <c r="G10" s="5">
        <f>3.14159*E10*C10*F10*7.85/1000000</f>
        <v>288.53933355000004</v>
      </c>
      <c r="H10" s="5">
        <f>E10*E10*1.22*1.22*F10*7.85/1000000</f>
        <v>7.4046969749999993</v>
      </c>
      <c r="I10" s="5">
        <f t="shared" si="0"/>
        <v>57.707866710000012</v>
      </c>
      <c r="J10" s="7">
        <f>(G10+H10+I10)*E1</f>
        <v>70730.379447000014</v>
      </c>
      <c r="K10" s="5">
        <f t="shared" si="1"/>
        <v>353.65189723500004</v>
      </c>
      <c r="L10" s="5">
        <f t="shared" si="2"/>
        <v>282.92151778800002</v>
      </c>
      <c r="M10" s="5">
        <f t="shared" si="3"/>
        <v>636.57341502300005</v>
      </c>
      <c r="N10" s="5">
        <f t="shared" si="4"/>
        <v>636.57341502300005</v>
      </c>
    </row>
    <row r="11" spans="1:16" ht="19.5" customHeight="1" x14ac:dyDescent="0.25">
      <c r="A11" t="s">
        <v>9</v>
      </c>
      <c r="B11">
        <v>2250</v>
      </c>
      <c r="C11" s="8">
        <v>1500</v>
      </c>
      <c r="D11" s="4">
        <f>SQRT(B11*4/C11/3.14159)*1000</f>
        <v>1381.9771815385591</v>
      </c>
      <c r="E11">
        <v>1400</v>
      </c>
      <c r="F11" s="5">
        <v>6</v>
      </c>
      <c r="G11" s="5">
        <f>3.14159*E11*C11*F11*7.85/1000000</f>
        <v>310.73466689999992</v>
      </c>
      <c r="H11" s="5">
        <f>E11*E11*1.22*1.22*F11*7.85*2/1000000</f>
        <v>274.8062688</v>
      </c>
      <c r="I11" s="5">
        <f t="shared" si="0"/>
        <v>62.146933379999986</v>
      </c>
      <c r="J11" s="7">
        <f>(G11+H11+I11)*E1*2.5</f>
        <v>323843.93453999993</v>
      </c>
      <c r="K11" s="5">
        <f t="shared" si="1"/>
        <v>647.68786907999981</v>
      </c>
      <c r="L11" s="5">
        <f t="shared" si="2"/>
        <v>518.15029526399985</v>
      </c>
      <c r="M11" s="5">
        <f t="shared" si="3"/>
        <v>1165.8381643439998</v>
      </c>
      <c r="N11" s="5">
        <f t="shared" si="4"/>
        <v>1165.8381643439998</v>
      </c>
    </row>
    <row r="12" spans="1:16" ht="19.5" customHeight="1" x14ac:dyDescent="0.25">
      <c r="A12" t="s">
        <v>25</v>
      </c>
      <c r="B12">
        <v>4500</v>
      </c>
      <c r="C12" s="8">
        <v>2000</v>
      </c>
      <c r="D12" s="4">
        <f>SQRT(B12*4/C12/3.14159)*1000</f>
        <v>1692.5694654695531</v>
      </c>
      <c r="E12">
        <v>1700</v>
      </c>
      <c r="F12" s="5">
        <v>8</v>
      </c>
      <c r="G12" s="5">
        <f>3.14159*E12*C12*F12*7.85*2/1000000</f>
        <v>1341.5845935999996</v>
      </c>
      <c r="H12" s="5">
        <f>E12*E12*1.22*1.22*F12*7.85*2/1000000</f>
        <v>540.26538560000006</v>
      </c>
      <c r="I12" s="5">
        <f t="shared" si="0"/>
        <v>268.31691871999993</v>
      </c>
      <c r="J12" s="7">
        <f>(G12+H12+I12)*E1</f>
        <v>430033.37958399998</v>
      </c>
      <c r="K12" s="5">
        <f t="shared" si="1"/>
        <v>2150.1668979199999</v>
      </c>
      <c r="L12" s="5">
        <f t="shared" si="2"/>
        <v>1720.133518336</v>
      </c>
      <c r="M12" s="5">
        <f t="shared" si="3"/>
        <v>3870.3004162560001</v>
      </c>
      <c r="N12" s="5">
        <f t="shared" si="4"/>
        <v>3870.3004162560001</v>
      </c>
    </row>
    <row r="13" spans="1:16" ht="19.5" customHeight="1" x14ac:dyDescent="0.25">
      <c r="A13" t="s">
        <v>26</v>
      </c>
      <c r="B13" s="4">
        <f>3.14159*C13*E13*E13/4000000</f>
        <v>497.74566562500002</v>
      </c>
      <c r="C13" s="8">
        <v>6000</v>
      </c>
      <c r="D13" s="4"/>
      <c r="E13">
        <v>325</v>
      </c>
      <c r="F13" s="5">
        <v>6</v>
      </c>
      <c r="G13" s="5">
        <f>3.14159*E13*C13*F13*7.85/1000000</f>
        <v>288.53933355000004</v>
      </c>
      <c r="H13" s="5">
        <f>E13*E13*1.22*1.22*F13*7.85/1000000</f>
        <v>7.4046969749999993</v>
      </c>
      <c r="I13" s="5">
        <f t="shared" si="0"/>
        <v>57.707866710000012</v>
      </c>
      <c r="J13" s="7">
        <f>(G13+H13+I13)*E1</f>
        <v>70730.379447000014</v>
      </c>
      <c r="K13" s="5">
        <f t="shared" si="1"/>
        <v>353.65189723500004</v>
      </c>
      <c r="L13" s="5">
        <f t="shared" si="2"/>
        <v>282.92151778800002</v>
      </c>
      <c r="M13" s="5">
        <f t="shared" si="3"/>
        <v>636.57341502300005</v>
      </c>
      <c r="N13" s="5">
        <f t="shared" si="4"/>
        <v>636.57341502300005</v>
      </c>
    </row>
    <row r="14" spans="1:16" ht="19.5" customHeight="1" x14ac:dyDescent="0.25">
      <c r="A14" t="s">
        <v>27</v>
      </c>
      <c r="B14">
        <v>2250</v>
      </c>
      <c r="C14" s="8">
        <v>1500</v>
      </c>
      <c r="D14" s="4">
        <f>SQRT(B14*4/C14/3.14159)*1000</f>
        <v>1381.9771815385591</v>
      </c>
      <c r="E14">
        <v>1400</v>
      </c>
      <c r="F14" s="5">
        <v>8</v>
      </c>
      <c r="G14" s="5">
        <f>3.14159*E14*C14*F14*7.85/1000000</f>
        <v>414.31288919999992</v>
      </c>
      <c r="H14" s="5">
        <f>E14*E14*1.22*1.22*F14*7.85*2/1000000</f>
        <v>366.4083584</v>
      </c>
      <c r="I14" s="5">
        <f t="shared" si="0"/>
        <v>82.862577839999986</v>
      </c>
      <c r="J14" s="7">
        <f>(G14+H14+I14)*E1</f>
        <v>172716.76508799999</v>
      </c>
      <c r="K14" s="5">
        <f t="shared" si="1"/>
        <v>863.58382543999994</v>
      </c>
      <c r="L14" s="5">
        <f t="shared" si="2"/>
        <v>690.86706035199995</v>
      </c>
      <c r="M14" s="5">
        <f t="shared" si="3"/>
        <v>1554.450885792</v>
      </c>
      <c r="N14" s="5">
        <f t="shared" si="4"/>
        <v>1554.450885792</v>
      </c>
    </row>
    <row r="15" spans="1:16" ht="19.5" customHeight="1" x14ac:dyDescent="0.25">
      <c r="A15" t="s">
        <v>120</v>
      </c>
      <c r="C15" s="8"/>
      <c r="D15" s="4"/>
      <c r="F15" s="5"/>
      <c r="G15" s="5"/>
      <c r="H15" s="5"/>
      <c r="I15" s="5"/>
      <c r="J15" s="7">
        <v>300000</v>
      </c>
      <c r="K15" s="9"/>
      <c r="L15" s="4"/>
      <c r="M15" s="5"/>
      <c r="N15" s="5"/>
      <c r="O15" s="5"/>
      <c r="P15" s="5"/>
    </row>
    <row r="16" spans="1:16" ht="19.5" customHeight="1" x14ac:dyDescent="0.25">
      <c r="C16" s="8"/>
      <c r="D16" s="4"/>
      <c r="F16" s="5"/>
      <c r="G16" s="5"/>
      <c r="H16" s="5"/>
      <c r="I16" s="5"/>
      <c r="J16" s="7"/>
      <c r="K16" s="9"/>
      <c r="L16" s="4"/>
      <c r="M16" s="5"/>
      <c r="N16" s="5"/>
      <c r="O16" s="5"/>
      <c r="P16" s="5"/>
    </row>
    <row r="17" spans="1:12" ht="19.5" customHeight="1" x14ac:dyDescent="0.25">
      <c r="H17" s="5"/>
      <c r="I17" s="5" t="s">
        <v>13</v>
      </c>
      <c r="J17" s="7">
        <f>SUM(J5:J15)</f>
        <v>2690238.9178263</v>
      </c>
      <c r="K17" s="9"/>
      <c r="L17" s="4"/>
    </row>
    <row r="18" spans="1:12" ht="19.5" customHeight="1" x14ac:dyDescent="0.25">
      <c r="H18" s="5"/>
      <c r="I18" s="5"/>
      <c r="J18" s="7"/>
      <c r="K18" s="9"/>
      <c r="L18" s="4"/>
    </row>
    <row r="19" spans="1:12" ht="19.5" customHeight="1" x14ac:dyDescent="0.25">
      <c r="A19" s="27" t="s">
        <v>119</v>
      </c>
      <c r="B19" s="11"/>
      <c r="C19" s="11"/>
      <c r="D19" s="11"/>
    </row>
    <row r="20" spans="1:12" x14ac:dyDescent="0.25">
      <c r="A20" t="s">
        <v>38</v>
      </c>
      <c r="E20" t="s">
        <v>37</v>
      </c>
      <c r="F20">
        <f>B3*80/24*5</f>
        <v>333333.33333333337</v>
      </c>
    </row>
    <row r="21" spans="1:12" x14ac:dyDescent="0.25">
      <c r="A21" t="s">
        <v>16</v>
      </c>
      <c r="E21" t="s">
        <v>18</v>
      </c>
      <c r="F21" s="4">
        <f>F20*0.2/3/60</f>
        <v>370.37037037037038</v>
      </c>
    </row>
    <row r="23" spans="1:12" x14ac:dyDescent="0.25">
      <c r="A23" s="26" t="s">
        <v>42</v>
      </c>
    </row>
    <row r="24" spans="1:12" ht="45" x14ac:dyDescent="0.25">
      <c r="A24" s="11" t="s">
        <v>20</v>
      </c>
      <c r="B24" s="11" t="s">
        <v>36</v>
      </c>
    </row>
    <row r="25" spans="1:12" x14ac:dyDescent="0.25">
      <c r="A25" s="9" t="s">
        <v>28</v>
      </c>
      <c r="B25" s="4">
        <f>B3*0.95/16</f>
        <v>1187.5</v>
      </c>
    </row>
    <row r="26" spans="1:12" x14ac:dyDescent="0.25">
      <c r="A26" s="9" t="s">
        <v>29</v>
      </c>
      <c r="B26" s="4">
        <f>B3*0.15/16</f>
        <v>187.5</v>
      </c>
    </row>
    <row r="27" spans="1:12" x14ac:dyDescent="0.25">
      <c r="A27" s="9" t="s">
        <v>30</v>
      </c>
      <c r="B27" s="4">
        <f>B3*0.5/16</f>
        <v>625</v>
      </c>
    </row>
    <row r="28" spans="1:12" x14ac:dyDescent="0.25">
      <c r="A28" s="9" t="s">
        <v>21</v>
      </c>
      <c r="B28" s="4">
        <f>B3*0.5/16</f>
        <v>625</v>
      </c>
    </row>
    <row r="29" spans="1:12" x14ac:dyDescent="0.25">
      <c r="A29" s="9" t="s">
        <v>31</v>
      </c>
      <c r="B29" s="4">
        <f>B3*0.15/16</f>
        <v>187.5</v>
      </c>
    </row>
    <row r="30" spans="1:12" x14ac:dyDescent="0.25">
      <c r="A30" s="9" t="s">
        <v>32</v>
      </c>
      <c r="B30" s="4">
        <f>B3*0.5/16</f>
        <v>625</v>
      </c>
    </row>
  </sheetData>
  <mergeCells count="1">
    <mergeCell ref="A1:D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biodiesel</vt:lpstr>
      <vt:lpstr>distilation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Satish Lele</dc:creator>
  <cp:lastModifiedBy>Satish LelE</cp:lastModifiedBy>
  <dcterms:created xsi:type="dcterms:W3CDTF">2017-08-01T06:27:55Z</dcterms:created>
  <dcterms:modified xsi:type="dcterms:W3CDTF">2024-03-23T12:02:37Z</dcterms:modified>
</cp:coreProperties>
</file>