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webpage\svlele\bd\"/>
    </mc:Choice>
  </mc:AlternateContent>
  <bookViews>
    <workbookView xWindow="0" yWindow="0" windowWidth="10785" windowHeight="9375"/>
  </bookViews>
  <sheets>
    <sheet name="biodiesel" sheetId="1" r:id="rId1"/>
    <sheet name="distilation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O23" i="1"/>
  <c r="O22" i="1"/>
  <c r="J11" i="3" l="1"/>
  <c r="J7" i="3"/>
  <c r="O24" i="1"/>
  <c r="O20" i="1"/>
  <c r="O19" i="1"/>
  <c r="O12" i="1"/>
  <c r="O11" i="1"/>
  <c r="O10" i="1"/>
  <c r="O9" i="1"/>
  <c r="O8" i="1"/>
  <c r="O5" i="1"/>
  <c r="K14" i="3" l="1"/>
  <c r="L14" i="3" s="1"/>
  <c r="K13" i="3"/>
  <c r="L13" i="3" s="1"/>
  <c r="K12" i="3"/>
  <c r="L12" i="3" s="1"/>
  <c r="K11" i="3"/>
  <c r="L11" i="3" s="1"/>
  <c r="M11" i="3" l="1"/>
  <c r="N11" i="3" s="1"/>
  <c r="M12" i="3"/>
  <c r="N12" i="3" s="1"/>
  <c r="M14" i="3"/>
  <c r="N14" i="3" s="1"/>
  <c r="M13" i="3"/>
  <c r="N13" i="3" s="1"/>
  <c r="G12" i="3"/>
  <c r="G9" i="3"/>
  <c r="G6" i="3"/>
  <c r="H6" i="3"/>
  <c r="H14" i="3"/>
  <c r="G14" i="3"/>
  <c r="H13" i="3"/>
  <c r="G13" i="3"/>
  <c r="H12" i="3"/>
  <c r="H11" i="3"/>
  <c r="G11" i="3"/>
  <c r="H10" i="3"/>
  <c r="G10" i="3"/>
  <c r="H9" i="3"/>
  <c r="H7" i="3"/>
  <c r="G7" i="3"/>
  <c r="H5" i="3"/>
  <c r="G5" i="3"/>
  <c r="M14" i="1" l="1"/>
  <c r="M13" i="1"/>
  <c r="L13" i="1"/>
  <c r="L8" i="1"/>
  <c r="L14" i="1"/>
  <c r="L11" i="1"/>
  <c r="L10" i="1"/>
  <c r="L7" i="1"/>
  <c r="L5" i="1"/>
  <c r="Q22" i="1" l="1"/>
  <c r="M22" i="1"/>
  <c r="L22" i="1"/>
  <c r="F22" i="1"/>
  <c r="N22" i="1" l="1"/>
  <c r="F21" i="3"/>
  <c r="G30" i="1"/>
  <c r="B35" i="1" s="1"/>
  <c r="Q23" i="1"/>
  <c r="Q21" i="1"/>
  <c r="Q20" i="1"/>
  <c r="Q19" i="1"/>
  <c r="B44" i="1"/>
  <c r="G31" i="1"/>
  <c r="B48" i="1"/>
  <c r="B46" i="1"/>
  <c r="B43" i="1"/>
  <c r="D18" i="1"/>
  <c r="D17" i="1"/>
  <c r="D16" i="1"/>
  <c r="D15" i="1"/>
  <c r="D5" i="1"/>
  <c r="Q5" i="1" s="1"/>
  <c r="D6" i="1"/>
  <c r="B45" i="1" s="1"/>
  <c r="L24" i="1"/>
  <c r="L23" i="1"/>
  <c r="L21" i="1"/>
  <c r="L20" i="1"/>
  <c r="L19" i="1"/>
  <c r="M5" i="1"/>
  <c r="M6" i="1"/>
  <c r="M7" i="1"/>
  <c r="M10" i="1"/>
  <c r="M11" i="1"/>
  <c r="M12" i="1"/>
  <c r="L12" i="1"/>
  <c r="N12" i="1" s="1"/>
  <c r="N11" i="1"/>
  <c r="N10" i="1"/>
  <c r="L9" i="1"/>
  <c r="N7" i="1"/>
  <c r="L6" i="1"/>
  <c r="N8" i="1" l="1"/>
  <c r="P22" i="1"/>
  <c r="R22" i="1" s="1"/>
  <c r="S22" i="1" s="1"/>
  <c r="Q6" i="1"/>
  <c r="B36" i="1"/>
  <c r="N9" i="1"/>
  <c r="O7" i="1"/>
  <c r="N6" i="1"/>
  <c r="O6" i="1" s="1"/>
  <c r="N13" i="1"/>
  <c r="O13" i="1" s="1"/>
  <c r="D36" i="1" l="1"/>
  <c r="C36" i="1"/>
  <c r="Q24" i="1"/>
  <c r="M24" i="1"/>
  <c r="F24" i="1"/>
  <c r="F23" i="1"/>
  <c r="M21" i="1"/>
  <c r="F21" i="1"/>
  <c r="M20" i="1"/>
  <c r="F20" i="1"/>
  <c r="F19" i="1"/>
  <c r="M9" i="1"/>
  <c r="D9" i="1"/>
  <c r="Q9" i="1" s="1"/>
  <c r="D8" i="1"/>
  <c r="Q8" i="1" s="1"/>
  <c r="D7" i="1"/>
  <c r="Q7" i="1" s="1"/>
  <c r="F7" i="1" l="1"/>
  <c r="B47" i="1"/>
  <c r="B37" i="1"/>
  <c r="F9" i="1"/>
  <c r="B38" i="1"/>
  <c r="B39" i="1"/>
  <c r="B40" i="1" s="1"/>
  <c r="C43" i="1"/>
  <c r="D43" i="1"/>
  <c r="D48" i="1"/>
  <c r="C48" i="1"/>
  <c r="D46" i="1"/>
  <c r="C46" i="1"/>
  <c r="C45" i="1"/>
  <c r="D45" i="1"/>
  <c r="D44" i="1"/>
  <c r="C44" i="1"/>
  <c r="N5" i="1"/>
  <c r="D14" i="1"/>
  <c r="Q14" i="1" s="1"/>
  <c r="P12" i="1"/>
  <c r="R12" i="1" s="1"/>
  <c r="S12" i="1" s="1"/>
  <c r="P10" i="1"/>
  <c r="P11" i="1"/>
  <c r="M19" i="1"/>
  <c r="M8" i="1"/>
  <c r="M23" i="1"/>
  <c r="F6" i="1"/>
  <c r="F8" i="1"/>
  <c r="D10" i="1"/>
  <c r="Q10" i="1" s="1"/>
  <c r="D11" i="1"/>
  <c r="Q11" i="1" s="1"/>
  <c r="R11" i="1" l="1"/>
  <c r="S11" i="1" s="1"/>
  <c r="B42" i="1"/>
  <c r="B41" i="1"/>
  <c r="F29" i="1"/>
  <c r="F27" i="1" s="1"/>
  <c r="D38" i="1"/>
  <c r="C38" i="1"/>
  <c r="D39" i="1"/>
  <c r="C39" i="1"/>
  <c r="C37" i="1"/>
  <c r="D37" i="1"/>
  <c r="D47" i="1"/>
  <c r="C47" i="1"/>
  <c r="N20" i="1"/>
  <c r="N24" i="1"/>
  <c r="N21" i="1"/>
  <c r="N14" i="1"/>
  <c r="O14" i="1" s="1"/>
  <c r="N23" i="1"/>
  <c r="N19" i="1"/>
  <c r="F5" i="1"/>
  <c r="F14" i="1"/>
  <c r="D13" i="1"/>
  <c r="P8" i="1"/>
  <c r="R8" i="1" s="1"/>
  <c r="S8" i="1" s="1"/>
  <c r="P5" i="1"/>
  <c r="P9" i="1"/>
  <c r="R9" i="1" s="1"/>
  <c r="S9" i="1" s="1"/>
  <c r="P7" i="1"/>
  <c r="R7" i="1" s="1"/>
  <c r="S7" i="1" s="1"/>
  <c r="R10" i="1"/>
  <c r="S10" i="1" s="1"/>
  <c r="P6" i="1"/>
  <c r="R6" i="1" s="1"/>
  <c r="S6" i="1" s="1"/>
  <c r="F10" i="1"/>
  <c r="F11" i="1"/>
  <c r="P21" i="1" l="1"/>
  <c r="R21" i="1" s="1"/>
  <c r="S21" i="1" s="1"/>
  <c r="O26" i="1"/>
  <c r="C35" i="1"/>
  <c r="D35" i="1"/>
  <c r="D40" i="1"/>
  <c r="C40" i="1"/>
  <c r="D42" i="1"/>
  <c r="C42" i="1"/>
  <c r="C41" i="1"/>
  <c r="D41" i="1"/>
  <c r="P23" i="1"/>
  <c r="R23" i="1" s="1"/>
  <c r="S23" i="1" s="1"/>
  <c r="P19" i="1"/>
  <c r="R19" i="1" s="1"/>
  <c r="S19" i="1" s="1"/>
  <c r="P14" i="1"/>
  <c r="R14" i="1" s="1"/>
  <c r="S14" i="1" s="1"/>
  <c r="R5" i="1"/>
  <c r="S5" i="1" s="1"/>
  <c r="P24" i="1"/>
  <c r="R24" i="1" s="1"/>
  <c r="S24" i="1" s="1"/>
  <c r="P20" i="1"/>
  <c r="R20" i="1" s="1"/>
  <c r="S20" i="1" s="1"/>
  <c r="Q13" i="1"/>
  <c r="F13" i="1"/>
  <c r="P13" i="1"/>
  <c r="R13" i="1" l="1"/>
  <c r="S13" i="1" s="1"/>
  <c r="F22" i="3" l="1"/>
  <c r="B31" i="3"/>
  <c r="B30" i="3"/>
  <c r="B29" i="3"/>
  <c r="B28" i="3"/>
  <c r="B27" i="3"/>
  <c r="B26" i="3"/>
  <c r="I14" i="3"/>
  <c r="D14" i="3"/>
  <c r="I13" i="3"/>
  <c r="B13" i="3"/>
  <c r="I12" i="3"/>
  <c r="D12" i="3"/>
  <c r="I11" i="3"/>
  <c r="D11" i="3"/>
  <c r="I10" i="3"/>
  <c r="B10" i="3"/>
  <c r="I9" i="3"/>
  <c r="D9" i="3"/>
  <c r="H8" i="3"/>
  <c r="G8" i="3"/>
  <c r="I8" i="3" s="1"/>
  <c r="D8" i="3"/>
  <c r="I7" i="3"/>
  <c r="B7" i="3"/>
  <c r="I6" i="3"/>
  <c r="D6" i="3"/>
  <c r="I5" i="3"/>
  <c r="D5" i="3"/>
  <c r="J12" i="3" l="1"/>
  <c r="J14" i="3"/>
  <c r="J5" i="3"/>
  <c r="J6" i="3"/>
  <c r="J8" i="3"/>
  <c r="J17" i="3" s="1"/>
  <c r="J9" i="3"/>
  <c r="J10" i="3"/>
  <c r="K7" i="3" l="1"/>
  <c r="L7" i="3" s="1"/>
  <c r="M7" i="3" s="1"/>
  <c r="N7" i="3" s="1"/>
  <c r="K9" i="3"/>
  <c r="L9" i="3" s="1"/>
  <c r="M9" i="3" s="1"/>
  <c r="N9" i="3" s="1"/>
  <c r="K5" i="3"/>
  <c r="L5" i="3" s="1"/>
  <c r="M5" i="3" s="1"/>
  <c r="N5" i="3" s="1"/>
  <c r="J13" i="3"/>
  <c r="K10" i="3"/>
  <c r="L10" i="3" s="1"/>
  <c r="M10" i="3" s="1"/>
  <c r="N10" i="3" s="1"/>
  <c r="K8" i="3"/>
  <c r="L8" i="3" s="1"/>
  <c r="M8" i="3" s="1"/>
  <c r="N8" i="3" s="1"/>
  <c r="K6" i="3"/>
  <c r="L6" i="3" s="1"/>
  <c r="M6" i="3" s="1"/>
  <c r="N6" i="3" s="1"/>
</calcChain>
</file>

<file path=xl/sharedStrings.xml><?xml version="1.0" encoding="utf-8"?>
<sst xmlns="http://schemas.openxmlformats.org/spreadsheetml/2006/main" count="152" uniqueCount="118">
  <si>
    <t>Capacity TPD</t>
  </si>
  <si>
    <t>VE-01</t>
  </si>
  <si>
    <t>Vessel Volume Cu M</t>
  </si>
  <si>
    <t>Reactor No.</t>
  </si>
  <si>
    <t>Length mm</t>
  </si>
  <si>
    <t>Diameter mm</t>
  </si>
  <si>
    <t>Diameter rounded mm</t>
  </si>
  <si>
    <t>VE-04</t>
  </si>
  <si>
    <t>VE-08</t>
  </si>
  <si>
    <t>VE-12</t>
  </si>
  <si>
    <t>Plate Thickness mm</t>
  </si>
  <si>
    <t>Vessel Price</t>
  </si>
  <si>
    <t>Top/Bot or Dishes Weight</t>
  </si>
  <si>
    <t>Total</t>
  </si>
  <si>
    <t>GT-23</t>
  </si>
  <si>
    <t>Boiler</t>
  </si>
  <si>
    <t>Cooling Tower</t>
  </si>
  <si>
    <t>Kg/Hr</t>
  </si>
  <si>
    <t>LPM</t>
  </si>
  <si>
    <t>Fabrication Cost Rs./Kg for MS</t>
  </si>
  <si>
    <t>Pump Number</t>
  </si>
  <si>
    <t>P-13</t>
  </si>
  <si>
    <t>VE-02</t>
  </si>
  <si>
    <t>VE-06</t>
  </si>
  <si>
    <t>VE-10</t>
  </si>
  <si>
    <t>VE-14</t>
  </si>
  <si>
    <t>VE-15</t>
  </si>
  <si>
    <t>VE-18</t>
  </si>
  <si>
    <t>P-03</t>
  </si>
  <si>
    <t>P-07</t>
  </si>
  <si>
    <t>P-09</t>
  </si>
  <si>
    <t>P-17</t>
  </si>
  <si>
    <t>P-19</t>
  </si>
  <si>
    <t>Vessel Volume Liters</t>
  </si>
  <si>
    <t>Capacity</t>
  </si>
  <si>
    <t>Lit/day</t>
  </si>
  <si>
    <t>Pump Capacity Lit/hr</t>
  </si>
  <si>
    <t>KCAL/Hr</t>
  </si>
  <si>
    <t>Hot Oil Unit</t>
  </si>
  <si>
    <t>Pump</t>
  </si>
  <si>
    <t>Suction Dia</t>
  </si>
  <si>
    <t>Discharge Dia</t>
  </si>
  <si>
    <t>Weight of Vessel Kg</t>
  </si>
  <si>
    <t>Total Load of Vessel Kg</t>
  </si>
  <si>
    <t>Wt of Contents Kgs</t>
  </si>
  <si>
    <t>Total Dynamic Load Kg</t>
  </si>
  <si>
    <t>P-01 CW</t>
  </si>
  <si>
    <t>P-05 ST-Bio</t>
  </si>
  <si>
    <t>OF-03</t>
  </si>
  <si>
    <t>PT-01</t>
  </si>
  <si>
    <t>ST-06/07/08</t>
  </si>
  <si>
    <t>BR-17</t>
  </si>
  <si>
    <t>BR-04</t>
  </si>
  <si>
    <t>MR-11/GR-14</t>
  </si>
  <si>
    <t>AC-03</t>
  </si>
  <si>
    <t>WC-10</t>
  </si>
  <si>
    <t>FT-20</t>
  </si>
  <si>
    <t>WT-21</t>
  </si>
  <si>
    <t>MT-22</t>
  </si>
  <si>
    <t>OT-24</t>
  </si>
  <si>
    <t>BT-25</t>
  </si>
  <si>
    <t>P-02 PT-01</t>
  </si>
  <si>
    <t>P-03 BR-04</t>
  </si>
  <si>
    <t>P-04 ST-Gly</t>
  </si>
  <si>
    <t>P-06 WC-10</t>
  </si>
  <si>
    <t>P-07 GR-14</t>
  </si>
  <si>
    <t>P-08 BR-17</t>
  </si>
  <si>
    <t>P-09 FT-20</t>
  </si>
  <si>
    <t>P-10 WT-21</t>
  </si>
  <si>
    <t>P-11 MT-22</t>
  </si>
  <si>
    <t>P-12 GT-23</t>
  </si>
  <si>
    <t>P-13  OT-24</t>
  </si>
  <si>
    <t>P-14 BT-25</t>
  </si>
  <si>
    <t>BioDiesel Reactor</t>
  </si>
  <si>
    <t>Oil Stg Tank</t>
  </si>
  <si>
    <t>Biod Stg Tank</t>
  </si>
  <si>
    <t>Glyc Stg Tank</t>
  </si>
  <si>
    <t>Wat Stg Tank</t>
  </si>
  <si>
    <t>Fuel Stg Tank</t>
  </si>
  <si>
    <t>Oil Feed Tank</t>
  </si>
  <si>
    <t>Methanol Stg Tank</t>
  </si>
  <si>
    <t>Biod  Purification</t>
  </si>
  <si>
    <t>CS</t>
  </si>
  <si>
    <t>SS304</t>
  </si>
  <si>
    <t>LDO Lit/day</t>
  </si>
  <si>
    <t>Batch</t>
  </si>
  <si>
    <t>Pump Capacity LPM</t>
  </si>
  <si>
    <t>SS316L</t>
  </si>
  <si>
    <t>MC-13</t>
  </si>
  <si>
    <t>Methanol Condenser</t>
  </si>
  <si>
    <t>MT-12/GT-15/BT-18</t>
  </si>
  <si>
    <t>H-11/14</t>
  </si>
  <si>
    <t>H-17</t>
  </si>
  <si>
    <t>Fabrication Cost Rs./Kg for SS316L</t>
  </si>
  <si>
    <t>Fabrication Cost Rs./Kg for Stg Tanks</t>
  </si>
  <si>
    <t>BC-05/BC-09/GC-16/BC-19</t>
  </si>
  <si>
    <t>Glycerine Feed Tank</t>
  </si>
  <si>
    <t>GF-02</t>
  </si>
  <si>
    <t>Pretreatment Tank</t>
  </si>
  <si>
    <t>KCal/Hr</t>
  </si>
  <si>
    <t>OR</t>
  </si>
  <si>
    <t>Hot Water Boiler</t>
  </si>
  <si>
    <t>Distillation Towers - 3 Nos.</t>
  </si>
  <si>
    <t>Recycle Condensers - 4 Nos.</t>
  </si>
  <si>
    <t>Acid Columns - 2 Nos.</t>
  </si>
  <si>
    <t>Shell / Jacket Weight</t>
  </si>
  <si>
    <t>Settling Tanks - 3 Nos.</t>
  </si>
  <si>
    <t>Met Gly Purification - 2 No.</t>
  </si>
  <si>
    <t>Dry Wash Columns - Nos.</t>
  </si>
  <si>
    <t>Rec Vessel Coolers</t>
  </si>
  <si>
    <t>Rec Vessel Coolers - 2 Nos</t>
  </si>
  <si>
    <t>Equipment No.</t>
  </si>
  <si>
    <t>Nozzles / Legs Weight</t>
  </si>
  <si>
    <t>Main Plant</t>
  </si>
  <si>
    <t>Utilities</t>
  </si>
  <si>
    <t>Pumps</t>
  </si>
  <si>
    <t>Nozzles / Legs  Weight</t>
  </si>
  <si>
    <t>C-05/11/16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</si>
</sst>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[$Rs-420]* #,##0.00_-;_-[$Rs-420]* #,##0.00\-;_-[$Rs-420]* &quot;-&quot;??_-;_-@_-"/>
    <numFmt numFmtId="165" formatCode="_-[$Rs-420]* #,##0_-;_-[$Rs-420]* #,##0\-;_-[$Rs-420]* &quot;-&quot;??_-;_-@_-"/>
    <numFmt numFmtId="166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wrapText="1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41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1" fontId="0" fillId="0" borderId="0" xfId="0" applyNumberFormat="1" applyAlignment="1"/>
    <xf numFmtId="0" fontId="0" fillId="0" borderId="0" xfId="0" applyFont="1"/>
    <xf numFmtId="0" fontId="0" fillId="0" borderId="0" xfId="0" applyAlignment="1">
      <alignment horizontal="center" wrapText="1"/>
    </xf>
    <xf numFmtId="166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zoomScaleNormal="100" workbookViewId="0"/>
  </sheetViews>
  <sheetFormatPr defaultRowHeight="15" x14ac:dyDescent="0.25"/>
  <cols>
    <col min="1" max="1" width="12.85546875" customWidth="1"/>
    <col min="2" max="2" width="10.28515625" customWidth="1"/>
    <col min="3" max="3" width="16.7109375" customWidth="1"/>
    <col min="4" max="4" width="10.28515625" customWidth="1"/>
    <col min="5" max="5" width="10.5703125" customWidth="1"/>
    <col min="6" max="6" width="10.85546875" customWidth="1"/>
    <col min="7" max="7" width="9.5703125" customWidth="1"/>
    <col min="8" max="8" width="8.85546875" customWidth="1"/>
    <col min="9" max="9" width="5.28515625" customWidth="1"/>
    <col min="10" max="10" width="5.42578125" customWidth="1"/>
    <col min="11" max="11" width="5" customWidth="1"/>
    <col min="12" max="12" width="10.42578125" customWidth="1"/>
    <col min="13" max="13" width="10.7109375" customWidth="1"/>
    <col min="14" max="14" width="9.28515625" customWidth="1"/>
    <col min="15" max="15" width="14.85546875" customWidth="1"/>
    <col min="16" max="16" width="12.140625" customWidth="1"/>
    <col min="17" max="17" width="8.7109375" customWidth="1"/>
    <col min="18" max="18" width="11.28515625" customWidth="1"/>
    <col min="19" max="19" width="11" customWidth="1"/>
    <col min="20" max="20" width="14.140625" customWidth="1"/>
    <col min="21" max="21" width="8.28515625" customWidth="1"/>
    <col min="22" max="22" width="10" customWidth="1"/>
    <col min="23" max="23" width="9.5703125" customWidth="1"/>
    <col min="24" max="24" width="14.7109375" customWidth="1"/>
    <col min="26" max="26" width="10.140625" customWidth="1"/>
    <col min="27" max="27" width="11.7109375" customWidth="1"/>
    <col min="30" max="30" width="12.7109375" customWidth="1"/>
  </cols>
  <sheetData>
    <row r="1" spans="1:31" ht="60" x14ac:dyDescent="0.25">
      <c r="B1" s="27"/>
      <c r="D1" s="27" t="s">
        <v>93</v>
      </c>
      <c r="E1" s="27" t="s">
        <v>19</v>
      </c>
      <c r="F1" s="27" t="s">
        <v>94</v>
      </c>
      <c r="T1" s="28"/>
      <c r="U1" s="28"/>
      <c r="V1" s="28"/>
      <c r="W1" s="28"/>
      <c r="X1" s="28"/>
      <c r="Y1" s="28"/>
      <c r="Z1" s="28"/>
      <c r="AA1" s="28"/>
    </row>
    <row r="2" spans="1:31" x14ac:dyDescent="0.25">
      <c r="A2" s="2" t="s">
        <v>0</v>
      </c>
      <c r="B2" s="30" t="s">
        <v>113</v>
      </c>
      <c r="D2">
        <v>500</v>
      </c>
      <c r="E2">
        <v>200</v>
      </c>
      <c r="F2">
        <v>100</v>
      </c>
      <c r="T2" s="28"/>
      <c r="U2" s="28"/>
      <c r="V2" s="28"/>
      <c r="W2" s="28"/>
      <c r="X2" s="28"/>
      <c r="Y2" s="28"/>
      <c r="Z2" s="28"/>
      <c r="AA2" s="28"/>
    </row>
    <row r="3" spans="1:31" x14ac:dyDescent="0.25">
      <c r="A3">
        <v>5</v>
      </c>
      <c r="B3" s="1"/>
      <c r="C3" t="s">
        <v>85</v>
      </c>
      <c r="T3" s="29"/>
      <c r="U3" s="29"/>
      <c r="V3" s="29"/>
      <c r="W3" s="29"/>
    </row>
    <row r="4" spans="1:31" ht="45" x14ac:dyDescent="0.25">
      <c r="A4" s="6" t="s">
        <v>111</v>
      </c>
      <c r="B4" s="6"/>
      <c r="C4" s="6"/>
      <c r="D4" s="6" t="s">
        <v>2</v>
      </c>
      <c r="E4" s="6" t="s">
        <v>4</v>
      </c>
      <c r="F4" s="6" t="s">
        <v>5</v>
      </c>
      <c r="G4" s="6" t="s">
        <v>6</v>
      </c>
      <c r="H4" s="35" t="s">
        <v>10</v>
      </c>
      <c r="I4" s="36"/>
      <c r="L4" s="9" t="s">
        <v>105</v>
      </c>
      <c r="M4" s="9" t="s">
        <v>12</v>
      </c>
      <c r="N4" s="9" t="s">
        <v>112</v>
      </c>
      <c r="O4" s="7" t="s">
        <v>11</v>
      </c>
      <c r="P4" s="22" t="s">
        <v>42</v>
      </c>
      <c r="Q4" s="22" t="s">
        <v>44</v>
      </c>
      <c r="R4" s="22" t="s">
        <v>43</v>
      </c>
      <c r="S4" s="22" t="s">
        <v>45</v>
      </c>
      <c r="X4" s="11"/>
      <c r="Y4" s="15"/>
      <c r="Z4" s="15"/>
      <c r="AB4" s="16"/>
      <c r="AC4" s="16"/>
      <c r="AD4" s="16"/>
      <c r="AE4" s="16"/>
    </row>
    <row r="5" spans="1:31" x14ac:dyDescent="0.25">
      <c r="A5" s="3" t="s">
        <v>49</v>
      </c>
      <c r="B5" t="s">
        <v>98</v>
      </c>
      <c r="D5" s="5">
        <f>A3*0.65</f>
        <v>3.25</v>
      </c>
      <c r="E5">
        <v>2400</v>
      </c>
      <c r="F5" s="4">
        <f>SQRT(D5*4*1000/E5/3.14159)*1000</f>
        <v>1313.0803503650293</v>
      </c>
      <c r="G5">
        <v>1300</v>
      </c>
      <c r="H5" s="4">
        <v>10</v>
      </c>
      <c r="I5" s="4"/>
      <c r="J5" t="s">
        <v>82</v>
      </c>
      <c r="L5" s="5">
        <f>3.14159*G5*E5*H5*7.85*1.5/1000000</f>
        <v>1154.1573341999999</v>
      </c>
      <c r="M5" s="5">
        <f>G5*G5*1.22*1.22*H5*7.85*2/1000000</f>
        <v>394.91717199999999</v>
      </c>
      <c r="N5" s="5">
        <f t="shared" ref="N5:N14" si="0">(K5+L5)*0.2</f>
        <v>230.83146683999999</v>
      </c>
      <c r="O5" s="8">
        <f>(L5+M5+N5)*E2*1.4</f>
        <v>498373.67245119996</v>
      </c>
      <c r="P5" s="5">
        <f t="shared" ref="P5" si="1">L5+M5+N5</f>
        <v>1779.9059730399999</v>
      </c>
      <c r="Q5">
        <f>D5*1500</f>
        <v>4875</v>
      </c>
      <c r="R5" s="5">
        <f t="shared" ref="R5" si="2">P5+Q5</f>
        <v>6654.9059730400004</v>
      </c>
      <c r="S5" s="5">
        <f>R5</f>
        <v>6654.9059730400004</v>
      </c>
      <c r="X5" s="28"/>
      <c r="Y5" s="28"/>
      <c r="Z5" s="18"/>
      <c r="AB5" s="18"/>
      <c r="AC5" s="18"/>
      <c r="AD5" s="18"/>
      <c r="AE5" s="18"/>
    </row>
    <row r="6" spans="1:31" x14ac:dyDescent="0.25">
      <c r="A6" s="3" t="s">
        <v>97</v>
      </c>
      <c r="B6" t="s">
        <v>96</v>
      </c>
      <c r="C6" s="21"/>
      <c r="D6" s="19">
        <f>A3*0.2</f>
        <v>1</v>
      </c>
      <c r="E6" s="19">
        <v>1200</v>
      </c>
      <c r="F6" s="20">
        <f>SQRT(D6*4*1000/E6/3.14159)*1000</f>
        <v>1030.0649737579283</v>
      </c>
      <c r="G6" s="19">
        <v>1000</v>
      </c>
      <c r="H6" s="20">
        <v>6</v>
      </c>
      <c r="I6" s="23"/>
      <c r="J6" t="s">
        <v>82</v>
      </c>
      <c r="L6" s="5">
        <f>3.14159*G6*E6*H6*7.85/1000000</f>
        <v>177.56266679999996</v>
      </c>
      <c r="M6" s="5">
        <f>G6*G6*1.22*1.22*H6*7.85*2/1000000</f>
        <v>140.20728</v>
      </c>
      <c r="N6" s="5">
        <f t="shared" si="0"/>
        <v>35.512533359999992</v>
      </c>
      <c r="O6" s="8">
        <f>(L6+M6+N6)*E2</f>
        <v>70656.496031999995</v>
      </c>
      <c r="P6" s="5">
        <f t="shared" ref="P6:P14" si="3">L6+M6+N6</f>
        <v>353.28248015999998</v>
      </c>
      <c r="Q6">
        <f>D6*1500</f>
        <v>1500</v>
      </c>
      <c r="R6" s="5">
        <f t="shared" ref="R6:R14" si="4">P6+Q6</f>
        <v>1853.28248016</v>
      </c>
      <c r="S6" s="5">
        <f t="shared" ref="S6:S14" si="5">R6</f>
        <v>1853.28248016</v>
      </c>
      <c r="X6" s="5"/>
      <c r="Y6" s="4"/>
      <c r="Z6" s="18"/>
      <c r="AB6" s="18"/>
      <c r="AC6" s="18"/>
      <c r="AD6" s="18"/>
      <c r="AE6" s="18"/>
    </row>
    <row r="7" spans="1:31" x14ac:dyDescent="0.25">
      <c r="A7" s="3" t="s">
        <v>48</v>
      </c>
      <c r="B7" t="s">
        <v>79</v>
      </c>
      <c r="C7" s="21"/>
      <c r="D7" s="19">
        <f>A3*0.6</f>
        <v>3</v>
      </c>
      <c r="E7" s="19">
        <v>1800</v>
      </c>
      <c r="F7" s="20">
        <f>SQRT(D7*4*1000/E7/3.14159)*1000</f>
        <v>1456.7318560139486</v>
      </c>
      <c r="G7" s="19">
        <v>1500</v>
      </c>
      <c r="H7" s="20">
        <v>6</v>
      </c>
      <c r="I7" s="23"/>
      <c r="J7" t="s">
        <v>82</v>
      </c>
      <c r="L7" s="5">
        <f>3.14159*G7*E7*H7*7.85*1.5/1000000</f>
        <v>599.2740004499999</v>
      </c>
      <c r="M7" s="5">
        <f>G7*G7*1.22*1.22*H7*7.85*2/1000000</f>
        <v>315.46638000000002</v>
      </c>
      <c r="N7" s="5">
        <f t="shared" si="0"/>
        <v>119.85480008999998</v>
      </c>
      <c r="O7" s="8">
        <f>(L7+M7+N7)*E2</f>
        <v>206919.036108</v>
      </c>
      <c r="P7" s="5">
        <f t="shared" si="3"/>
        <v>1034.59518054</v>
      </c>
      <c r="Q7">
        <f>D7*900</f>
        <v>2700</v>
      </c>
      <c r="R7" s="5">
        <f t="shared" si="4"/>
        <v>3734.59518054</v>
      </c>
      <c r="S7" s="5">
        <f t="shared" si="5"/>
        <v>3734.59518054</v>
      </c>
      <c r="X7" s="5"/>
      <c r="Y7" s="4"/>
      <c r="Z7" s="5"/>
      <c r="AB7" s="5"/>
      <c r="AD7" s="5"/>
    </row>
    <row r="8" spans="1:31" x14ac:dyDescent="0.25">
      <c r="A8" t="s">
        <v>52</v>
      </c>
      <c r="B8" t="s">
        <v>73</v>
      </c>
      <c r="D8">
        <f>A3*0.65</f>
        <v>3.25</v>
      </c>
      <c r="E8">
        <v>2400</v>
      </c>
      <c r="F8" s="4">
        <f t="shared" ref="F8:F9" si="6">SQRT(D8*4*1000/E8/3.14159)*1000</f>
        <v>1313.0803503650293</v>
      </c>
      <c r="G8">
        <v>1300</v>
      </c>
      <c r="H8" s="4">
        <v>8</v>
      </c>
      <c r="I8" s="4"/>
      <c r="J8" t="s">
        <v>83</v>
      </c>
      <c r="L8" s="5">
        <f>3.14159*G8*E8*H8*8.15/1000000+3.14159*G8*E8*H8*7.85/2000000</f>
        <v>946.85009328000012</v>
      </c>
      <c r="M8" s="5">
        <f t="shared" ref="M8" si="7">G8*G8*1.22*1.22*H8*8.15*2/1000000</f>
        <v>328.00763840000002</v>
      </c>
      <c r="N8" s="5">
        <f t="shared" si="0"/>
        <v>189.37001865600004</v>
      </c>
      <c r="O8" s="8">
        <f>(L8+M8+N8)*D2*1.2</f>
        <v>878536.65020159993</v>
      </c>
      <c r="P8" s="5">
        <f t="shared" si="3"/>
        <v>1464.2277503360001</v>
      </c>
      <c r="Q8">
        <f>D8*1200</f>
        <v>3900</v>
      </c>
      <c r="R8" s="5">
        <f t="shared" si="4"/>
        <v>5364.2277503360001</v>
      </c>
      <c r="S8" s="5">
        <f t="shared" si="5"/>
        <v>5364.2277503360001</v>
      </c>
      <c r="X8" s="5"/>
      <c r="Y8" s="4"/>
      <c r="Z8" s="5"/>
      <c r="AB8" s="5"/>
      <c r="AD8" s="5"/>
    </row>
    <row r="9" spans="1:31" x14ac:dyDescent="0.25">
      <c r="A9" t="s">
        <v>50</v>
      </c>
      <c r="B9" t="s">
        <v>106</v>
      </c>
      <c r="D9">
        <f>A3*0.65</f>
        <v>3.25</v>
      </c>
      <c r="E9">
        <v>2400</v>
      </c>
      <c r="F9" s="4">
        <f t="shared" si="6"/>
        <v>1313.0803503650293</v>
      </c>
      <c r="G9">
        <v>1300</v>
      </c>
      <c r="H9" s="4">
        <v>8</v>
      </c>
      <c r="I9" s="4"/>
      <c r="J9" t="s">
        <v>82</v>
      </c>
      <c r="L9" s="5">
        <f>3.14159*G9*E9*H9*7.85/1000000</f>
        <v>615.55057824000005</v>
      </c>
      <c r="M9" s="5">
        <f>G9*G9*1.22*1.22*H9*7.85*2/1000000</f>
        <v>315.93373759999997</v>
      </c>
      <c r="N9" s="5">
        <f t="shared" si="0"/>
        <v>123.11011564800002</v>
      </c>
      <c r="O9" s="8">
        <f>(L9+M9+N9)*E2*3*1.25</f>
        <v>790945.82361600013</v>
      </c>
      <c r="P9" s="5">
        <f t="shared" si="3"/>
        <v>1054.5944314880001</v>
      </c>
      <c r="Q9">
        <f>D9*1200</f>
        <v>3900</v>
      </c>
      <c r="R9" s="5">
        <f t="shared" si="4"/>
        <v>4954.5944314879998</v>
      </c>
      <c r="S9" s="5">
        <f t="shared" si="5"/>
        <v>4954.5944314879998</v>
      </c>
      <c r="X9" s="34"/>
      <c r="Y9" s="34"/>
      <c r="Z9" s="5"/>
      <c r="AB9" s="5"/>
      <c r="AD9" s="5"/>
    </row>
    <row r="10" spans="1:31" x14ac:dyDescent="0.25">
      <c r="A10" t="s">
        <v>53</v>
      </c>
      <c r="B10" t="s">
        <v>107</v>
      </c>
      <c r="D10">
        <f>D8*0.15</f>
        <v>0.48749999999999999</v>
      </c>
      <c r="E10" s="24">
        <v>2000</v>
      </c>
      <c r="F10" s="4">
        <f>SQRT(D10*4*1000/E10/3.14159)*1000</f>
        <v>557.09281199155191</v>
      </c>
      <c r="G10">
        <v>550</v>
      </c>
      <c r="H10" s="4">
        <v>5</v>
      </c>
      <c r="I10" s="4"/>
      <c r="J10" t="s">
        <v>82</v>
      </c>
      <c r="L10" s="5">
        <f>3.14159*G10*E10*H10*7.85*2/1000000</f>
        <v>271.2762965</v>
      </c>
      <c r="M10" s="5">
        <f>G10*G10*1.22*1.22*H10*7.85*2/1000000</f>
        <v>35.343918500000001</v>
      </c>
      <c r="N10" s="5">
        <f t="shared" si="0"/>
        <v>54.255259300000006</v>
      </c>
      <c r="O10" s="8">
        <f>(L10+M10+N10)*E2*2</f>
        <v>144350.18972000002</v>
      </c>
      <c r="P10" s="5">
        <f t="shared" si="3"/>
        <v>360.87547430000006</v>
      </c>
      <c r="Q10">
        <f>D10*1000</f>
        <v>487.5</v>
      </c>
      <c r="R10" s="5">
        <f t="shared" si="4"/>
        <v>848.37547430000006</v>
      </c>
      <c r="S10" s="5">
        <f t="shared" si="5"/>
        <v>848.37547430000006</v>
      </c>
      <c r="X10" s="5"/>
      <c r="Y10" s="4"/>
      <c r="Z10" s="5"/>
      <c r="AB10" s="5"/>
      <c r="AD10" s="5"/>
    </row>
    <row r="11" spans="1:31" x14ac:dyDescent="0.25">
      <c r="A11" t="s">
        <v>51</v>
      </c>
      <c r="B11" t="s">
        <v>81</v>
      </c>
      <c r="D11">
        <f>D8*0.8</f>
        <v>2.6</v>
      </c>
      <c r="E11" s="24">
        <v>2400</v>
      </c>
      <c r="F11" s="4">
        <f>SQRT(D11*4*1000/E11/3.14159)*1000</f>
        <v>1174.4547693341785</v>
      </c>
      <c r="G11">
        <v>1150</v>
      </c>
      <c r="H11" s="4">
        <v>5</v>
      </c>
      <c r="I11" s="4"/>
      <c r="J11" t="s">
        <v>82</v>
      </c>
      <c r="L11" s="5">
        <f>3.14159*G11*E11*H11*7.85*2/1000000</f>
        <v>680.65688939999995</v>
      </c>
      <c r="M11" s="5">
        <f>G11*G11*1.22*1.22*H11*7.85*2/1000000</f>
        <v>154.5201065</v>
      </c>
      <c r="N11" s="5">
        <f t="shared" si="0"/>
        <v>136.13137788</v>
      </c>
      <c r="O11" s="8">
        <f>(L11+M11+N11)*E2*1.4</f>
        <v>271966.34465839999</v>
      </c>
      <c r="P11" s="5">
        <f t="shared" si="3"/>
        <v>971.30837378000001</v>
      </c>
      <c r="Q11">
        <f>D11*1200</f>
        <v>3120</v>
      </c>
      <c r="R11" s="5">
        <f t="shared" si="4"/>
        <v>4091.3083737799998</v>
      </c>
      <c r="S11" s="5">
        <f t="shared" si="5"/>
        <v>4091.3083737799998</v>
      </c>
      <c r="X11" s="5"/>
      <c r="Y11" s="4"/>
      <c r="Z11" s="5"/>
      <c r="AB11" s="5"/>
      <c r="AD11" s="5"/>
    </row>
    <row r="12" spans="1:31" x14ac:dyDescent="0.25">
      <c r="A12" t="s">
        <v>90</v>
      </c>
      <c r="B12" t="s">
        <v>102</v>
      </c>
      <c r="E12" s="24">
        <v>3000</v>
      </c>
      <c r="F12" s="4">
        <v>300</v>
      </c>
      <c r="G12">
        <v>300</v>
      </c>
      <c r="H12" s="4">
        <v>3</v>
      </c>
      <c r="I12" s="4"/>
      <c r="J12" t="s">
        <v>82</v>
      </c>
      <c r="L12" s="5">
        <f>3.14159*G12*E12*H12*7.85/1000000</f>
        <v>66.586000049999996</v>
      </c>
      <c r="M12" s="5">
        <f>G12*G12*1.22*1.22*H12*7.85*2/1000000</f>
        <v>6.3093275999999996</v>
      </c>
      <c r="N12" s="5">
        <f t="shared" si="0"/>
        <v>13.317200010000001</v>
      </c>
      <c r="O12" s="8">
        <f>(L12+M12+N12)*E2*3*5</f>
        <v>258637.58298000004</v>
      </c>
      <c r="P12" s="5">
        <f t="shared" si="3"/>
        <v>86.212527660000006</v>
      </c>
      <c r="Q12">
        <v>80</v>
      </c>
      <c r="R12" s="5">
        <f t="shared" si="4"/>
        <v>166.21252766000001</v>
      </c>
      <c r="S12" s="5">
        <f t="shared" si="5"/>
        <v>166.21252766000001</v>
      </c>
      <c r="X12" s="5"/>
      <c r="Y12" s="4"/>
      <c r="Z12" s="5"/>
      <c r="AB12" s="5"/>
      <c r="AD12" s="5"/>
    </row>
    <row r="13" spans="1:31" x14ac:dyDescent="0.25">
      <c r="A13" t="s">
        <v>54</v>
      </c>
      <c r="B13" t="s">
        <v>104</v>
      </c>
      <c r="D13">
        <f>D5*0.01</f>
        <v>3.2500000000000001E-2</v>
      </c>
      <c r="E13">
        <v>2400</v>
      </c>
      <c r="F13" s="4">
        <f>SQRT(D13*4*1000/E13/3.14159)*1000</f>
        <v>131.30803503650293</v>
      </c>
      <c r="G13">
        <v>300</v>
      </c>
      <c r="H13" s="4">
        <v>3</v>
      </c>
      <c r="I13" s="4"/>
      <c r="J13" t="s">
        <v>87</v>
      </c>
      <c r="L13" s="5">
        <f>3.14159*G13*E13*H13*8.15/1000000</f>
        <v>55.30455036</v>
      </c>
      <c r="M13" s="5">
        <f>G13*G13*1.05*1.05*H13*8.15*2/1000000</f>
        <v>4.8521025</v>
      </c>
      <c r="N13" s="5">
        <f t="shared" si="0"/>
        <v>11.060910072</v>
      </c>
      <c r="O13" s="8">
        <f>(L13+M13+N13)*D2*2</f>
        <v>71217.562932000001</v>
      </c>
      <c r="P13" s="5">
        <f t="shared" si="3"/>
        <v>71.217562932000007</v>
      </c>
      <c r="Q13">
        <f t="shared" ref="Q13:Q14" si="8">D13*800</f>
        <v>26</v>
      </c>
      <c r="R13" s="5">
        <f t="shared" si="4"/>
        <v>97.217562932000007</v>
      </c>
      <c r="S13" s="5">
        <f t="shared" si="5"/>
        <v>97.217562932000007</v>
      </c>
      <c r="X13" s="34"/>
      <c r="Y13" s="34"/>
      <c r="Z13" s="5"/>
      <c r="AB13" s="5"/>
      <c r="AD13" s="5"/>
    </row>
    <row r="14" spans="1:31" x14ac:dyDescent="0.25">
      <c r="A14" t="s">
        <v>55</v>
      </c>
      <c r="B14" t="s">
        <v>108</v>
      </c>
      <c r="D14">
        <f>D8*0.02</f>
        <v>6.5000000000000002E-2</v>
      </c>
      <c r="E14">
        <v>2400</v>
      </c>
      <c r="F14" s="4">
        <f>SQRT(D14*4*1000/E14/3.14159)*1000</f>
        <v>185.69760399718396</v>
      </c>
      <c r="G14">
        <v>300</v>
      </c>
      <c r="H14" s="4">
        <v>3</v>
      </c>
      <c r="I14" s="4"/>
      <c r="J14" t="s">
        <v>82</v>
      </c>
      <c r="L14" s="5">
        <f>3.14159*G14*E14*H14*7.85/1000000</f>
        <v>53.268800039999995</v>
      </c>
      <c r="M14" s="5">
        <f>G14*G14*1.05*1.05*H14*7.85*2/1000000</f>
        <v>4.6734974999999999</v>
      </c>
      <c r="N14" s="5">
        <f t="shared" si="0"/>
        <v>10.653760007999999</v>
      </c>
      <c r="O14" s="8">
        <f>(L14+M14+N14)*E2*2</f>
        <v>27438.423019200003</v>
      </c>
      <c r="P14" s="5">
        <f t="shared" si="3"/>
        <v>68.596057548000005</v>
      </c>
      <c r="Q14">
        <f t="shared" si="8"/>
        <v>52</v>
      </c>
      <c r="R14" s="5">
        <f t="shared" si="4"/>
        <v>120.596057548</v>
      </c>
      <c r="S14" s="5">
        <f t="shared" si="5"/>
        <v>120.596057548</v>
      </c>
      <c r="X14" s="5"/>
      <c r="Y14" s="4"/>
      <c r="Z14" s="5"/>
      <c r="AB14" s="5"/>
      <c r="AD14" s="5"/>
    </row>
    <row r="15" spans="1:31" x14ac:dyDescent="0.25">
      <c r="A15" t="s">
        <v>95</v>
      </c>
      <c r="B15" t="s">
        <v>103</v>
      </c>
      <c r="D15" s="26">
        <f t="shared" ref="D15:D16" si="9">3.14159*0.019*E15*14/1000</f>
        <v>1.5041932919999998</v>
      </c>
      <c r="E15">
        <v>1800</v>
      </c>
      <c r="J15" t="s">
        <v>82</v>
      </c>
      <c r="O15" s="8">
        <v>300000</v>
      </c>
      <c r="X15" s="5"/>
      <c r="Y15" s="4"/>
      <c r="Z15" s="5"/>
      <c r="AB15" s="5"/>
      <c r="AD15" s="5"/>
    </row>
    <row r="16" spans="1:31" x14ac:dyDescent="0.25">
      <c r="A16" t="s">
        <v>88</v>
      </c>
      <c r="B16" t="s">
        <v>89</v>
      </c>
      <c r="D16" s="26">
        <f t="shared" si="9"/>
        <v>2.0055910559999997</v>
      </c>
      <c r="E16">
        <v>2400</v>
      </c>
      <c r="J16" t="s">
        <v>82</v>
      </c>
      <c r="O16" s="8">
        <v>150000</v>
      </c>
      <c r="X16" s="5"/>
      <c r="Z16" s="5"/>
      <c r="AB16" s="5"/>
      <c r="AD16" s="5"/>
    </row>
    <row r="17" spans="1:30" x14ac:dyDescent="0.25">
      <c r="A17" t="s">
        <v>91</v>
      </c>
      <c r="B17" t="s">
        <v>110</v>
      </c>
      <c r="D17" s="26">
        <f>3.14159*0.019*E17*10/1000</f>
        <v>1.1938041999999998</v>
      </c>
      <c r="E17">
        <v>2000</v>
      </c>
      <c r="J17" t="s">
        <v>82</v>
      </c>
      <c r="O17" s="8">
        <v>100000</v>
      </c>
      <c r="X17" s="34"/>
      <c r="Y17" s="34"/>
      <c r="Z17" s="5"/>
      <c r="AB17" s="5"/>
      <c r="AD17" s="5"/>
    </row>
    <row r="18" spans="1:30" x14ac:dyDescent="0.25">
      <c r="A18" t="s">
        <v>92</v>
      </c>
      <c r="B18" t="s">
        <v>109</v>
      </c>
      <c r="D18" s="26">
        <f>3.14159*0.019*E18*10/1000</f>
        <v>1.4325650399999996</v>
      </c>
      <c r="E18">
        <v>2400</v>
      </c>
      <c r="J18" t="s">
        <v>82</v>
      </c>
      <c r="O18" s="8">
        <v>100000</v>
      </c>
      <c r="X18" s="5"/>
      <c r="Y18" s="4"/>
      <c r="Z18" s="5"/>
      <c r="AB18" s="5"/>
      <c r="AD18" s="5"/>
    </row>
    <row r="19" spans="1:30" x14ac:dyDescent="0.25">
      <c r="A19" t="s">
        <v>59</v>
      </c>
      <c r="B19" t="s">
        <v>74</v>
      </c>
      <c r="D19">
        <v>100</v>
      </c>
      <c r="E19">
        <v>5000</v>
      </c>
      <c r="F19" s="4">
        <f t="shared" ref="F19:F24" si="10">SQRT(D19*4*1000/E19/3.14159)*1000</f>
        <v>5046.2671752405386</v>
      </c>
      <c r="G19">
        <v>5000</v>
      </c>
      <c r="H19" s="4">
        <v>8</v>
      </c>
      <c r="I19" s="4">
        <v>6</v>
      </c>
      <c r="J19" t="s">
        <v>82</v>
      </c>
      <c r="K19" s="5"/>
      <c r="L19" s="5">
        <f t="shared" ref="L19:L24" si="11">3.14159*G19*E19*(H19+I19)*7.85/2000000</f>
        <v>4315.7592624999997</v>
      </c>
      <c r="M19" s="5">
        <f>G19*G19*1.05*1.05*(K19+H19)*7.85*2/2000000</f>
        <v>1730.925</v>
      </c>
      <c r="N19" s="5">
        <f t="shared" ref="N19:N24" si="12">(K19+L19)*0.2</f>
        <v>863.15185250000002</v>
      </c>
      <c r="O19" s="8">
        <f>(L19+M19+N19)*F2*2</f>
        <v>1381967.223</v>
      </c>
      <c r="P19" s="5">
        <f t="shared" ref="P19:P24" si="13">L19+M19+N19</f>
        <v>6909.8361150000001</v>
      </c>
      <c r="Q19">
        <f>D19*900</f>
        <v>90000</v>
      </c>
      <c r="R19" s="5">
        <f t="shared" ref="R19:R24" si="14">P19+Q19</f>
        <v>96909.836114999998</v>
      </c>
      <c r="S19" s="5">
        <f>R19</f>
        <v>96909.836114999998</v>
      </c>
      <c r="T19" s="4"/>
      <c r="U19" s="4"/>
      <c r="W19" s="12"/>
      <c r="Y19" s="5"/>
      <c r="Z19" s="5"/>
      <c r="AB19" s="5"/>
      <c r="AD19" s="5"/>
    </row>
    <row r="20" spans="1:30" x14ac:dyDescent="0.25">
      <c r="A20" t="s">
        <v>60</v>
      </c>
      <c r="B20" t="s">
        <v>75</v>
      </c>
      <c r="D20">
        <v>100</v>
      </c>
      <c r="E20">
        <v>5000</v>
      </c>
      <c r="F20" s="4">
        <f t="shared" si="10"/>
        <v>5046.2671752405386</v>
      </c>
      <c r="G20">
        <v>5000</v>
      </c>
      <c r="H20" s="4">
        <v>8</v>
      </c>
      <c r="I20" s="4">
        <v>6</v>
      </c>
      <c r="J20" t="s">
        <v>82</v>
      </c>
      <c r="K20" s="5"/>
      <c r="L20" s="5">
        <f t="shared" si="11"/>
        <v>4315.7592624999997</v>
      </c>
      <c r="M20" s="5">
        <f t="shared" ref="M20:M24" si="15">G20*G20*1.05*1.05*(K20+H20)*7.85*2/2000000</f>
        <v>1730.925</v>
      </c>
      <c r="N20" s="5">
        <f t="shared" si="12"/>
        <v>863.15185250000002</v>
      </c>
      <c r="O20" s="8">
        <f>(L20+M20+N20)*F2*2</f>
        <v>1381967.223</v>
      </c>
      <c r="P20" s="5">
        <f t="shared" si="13"/>
        <v>6909.8361150000001</v>
      </c>
      <c r="Q20">
        <f>D20*900</f>
        <v>90000</v>
      </c>
      <c r="R20" s="5">
        <f t="shared" si="14"/>
        <v>96909.836114999998</v>
      </c>
      <c r="S20" s="5">
        <f t="shared" ref="S20:S24" si="16">R20</f>
        <v>96909.836114999998</v>
      </c>
      <c r="T20" s="4"/>
      <c r="U20" s="4"/>
      <c r="W20" s="12"/>
      <c r="Y20" s="5"/>
      <c r="Z20" s="5"/>
      <c r="AB20" s="5"/>
      <c r="AD20" s="5"/>
    </row>
    <row r="21" spans="1:30" x14ac:dyDescent="0.25">
      <c r="A21" t="s">
        <v>14</v>
      </c>
      <c r="B21" t="s">
        <v>76</v>
      </c>
      <c r="D21">
        <v>25</v>
      </c>
      <c r="E21">
        <v>3000</v>
      </c>
      <c r="F21" s="4">
        <f t="shared" si="10"/>
        <v>3257.3514550366253</v>
      </c>
      <c r="G21">
        <v>3000</v>
      </c>
      <c r="H21" s="4">
        <v>6</v>
      </c>
      <c r="I21" s="4">
        <v>5</v>
      </c>
      <c r="J21" t="s">
        <v>82</v>
      </c>
      <c r="K21" s="5"/>
      <c r="L21" s="5">
        <f t="shared" si="11"/>
        <v>1220.7433342500001</v>
      </c>
      <c r="M21" s="5">
        <f t="shared" si="15"/>
        <v>467.34974999999997</v>
      </c>
      <c r="N21" s="5">
        <f t="shared" si="12"/>
        <v>244.14866685000004</v>
      </c>
      <c r="O21" s="8">
        <f>(L21+M21+N21)*F2*2</f>
        <v>386448.35022000008</v>
      </c>
      <c r="P21" s="5">
        <f t="shared" si="13"/>
        <v>1932.2417511000003</v>
      </c>
      <c r="Q21">
        <f>D21*1500</f>
        <v>37500</v>
      </c>
      <c r="R21" s="5">
        <f t="shared" si="14"/>
        <v>39432.241751100002</v>
      </c>
      <c r="S21" s="5">
        <f t="shared" si="16"/>
        <v>39432.241751100002</v>
      </c>
      <c r="T21" s="4"/>
      <c r="U21" s="4"/>
      <c r="W21" s="12"/>
      <c r="Y21" s="5"/>
      <c r="Z21" s="5"/>
    </row>
    <row r="22" spans="1:30" x14ac:dyDescent="0.25">
      <c r="A22" t="s">
        <v>58</v>
      </c>
      <c r="B22" t="s">
        <v>80</v>
      </c>
      <c r="D22">
        <v>20</v>
      </c>
      <c r="E22">
        <v>3600</v>
      </c>
      <c r="F22" s="4">
        <f t="shared" si="10"/>
        <v>2659.6163259173577</v>
      </c>
      <c r="G22" s="4">
        <v>2500</v>
      </c>
      <c r="H22" s="4">
        <v>6</v>
      </c>
      <c r="I22" s="4"/>
      <c r="J22" s="4"/>
      <c r="K22" s="5"/>
      <c r="L22" s="5">
        <f t="shared" si="11"/>
        <v>665.86000049999984</v>
      </c>
      <c r="M22" s="5">
        <f t="shared" ref="M22" si="17">G22*G22*1.05*1.05*(K22+H22)*7.85/1000000</f>
        <v>324.54843749999998</v>
      </c>
      <c r="N22" s="5">
        <f t="shared" si="12"/>
        <v>133.17200009999996</v>
      </c>
      <c r="O22" s="8">
        <f>(L22+M22+N22)*F2*2</f>
        <v>224716.08761999995</v>
      </c>
      <c r="P22" s="5">
        <f t="shared" si="13"/>
        <v>1123.5804380999998</v>
      </c>
      <c r="Q22">
        <f>D22*1500</f>
        <v>30000</v>
      </c>
      <c r="R22" s="23">
        <f t="shared" si="14"/>
        <v>31123.580438099998</v>
      </c>
      <c r="S22" s="23">
        <f t="shared" si="16"/>
        <v>31123.580438099998</v>
      </c>
    </row>
    <row r="23" spans="1:30" x14ac:dyDescent="0.25">
      <c r="A23" t="s">
        <v>57</v>
      </c>
      <c r="B23" t="s">
        <v>77</v>
      </c>
      <c r="D23">
        <v>25</v>
      </c>
      <c r="E23">
        <v>3000</v>
      </c>
      <c r="F23" s="4">
        <f t="shared" si="10"/>
        <v>3257.3514550366253</v>
      </c>
      <c r="G23">
        <v>3000</v>
      </c>
      <c r="H23" s="4">
        <v>6</v>
      </c>
      <c r="I23" s="4">
        <v>5</v>
      </c>
      <c r="J23" t="s">
        <v>82</v>
      </c>
      <c r="K23" s="5"/>
      <c r="L23" s="5">
        <f t="shared" si="11"/>
        <v>1220.7433342500001</v>
      </c>
      <c r="M23" s="5">
        <f t="shared" si="15"/>
        <v>467.34974999999997</v>
      </c>
      <c r="N23" s="5">
        <f t="shared" si="12"/>
        <v>244.14866685000004</v>
      </c>
      <c r="O23" s="8">
        <f>(L23+M23+N23)*F2*2</f>
        <v>386448.35022000008</v>
      </c>
      <c r="P23" s="5">
        <f t="shared" si="13"/>
        <v>1932.2417511000003</v>
      </c>
      <c r="Q23">
        <f>D23*1000</f>
        <v>25000</v>
      </c>
      <c r="R23" s="5">
        <f t="shared" si="14"/>
        <v>26932.241751100002</v>
      </c>
      <c r="S23" s="5">
        <f t="shared" si="16"/>
        <v>26932.241751100002</v>
      </c>
    </row>
    <row r="24" spans="1:30" x14ac:dyDescent="0.25">
      <c r="A24" t="s">
        <v>56</v>
      </c>
      <c r="B24" t="s">
        <v>78</v>
      </c>
      <c r="D24">
        <v>20</v>
      </c>
      <c r="E24">
        <v>3000</v>
      </c>
      <c r="F24" s="4">
        <f t="shared" si="10"/>
        <v>2913.4637120278971</v>
      </c>
      <c r="G24">
        <v>3000</v>
      </c>
      <c r="H24" s="4">
        <v>6</v>
      </c>
      <c r="I24" s="4">
        <v>5</v>
      </c>
      <c r="J24" t="s">
        <v>82</v>
      </c>
      <c r="K24" s="5"/>
      <c r="L24" s="5">
        <f t="shared" si="11"/>
        <v>1220.7433342500001</v>
      </c>
      <c r="M24" s="5">
        <f t="shared" si="15"/>
        <v>467.34974999999997</v>
      </c>
      <c r="N24" s="5">
        <f t="shared" si="12"/>
        <v>244.14866685000004</v>
      </c>
      <c r="O24" s="8">
        <f>(L24+M24+N24)*F2*2</f>
        <v>386448.35022000008</v>
      </c>
      <c r="P24" s="5">
        <f t="shared" si="13"/>
        <v>1932.2417511000003</v>
      </c>
      <c r="Q24">
        <f t="shared" ref="Q24" si="18">D24*800</f>
        <v>16000</v>
      </c>
      <c r="R24" s="5">
        <f t="shared" si="14"/>
        <v>17932.241751100002</v>
      </c>
      <c r="S24" s="5">
        <f t="shared" si="16"/>
        <v>17932.241751100002</v>
      </c>
      <c r="Y24" s="5"/>
      <c r="Z24" s="5"/>
    </row>
    <row r="25" spans="1:30" x14ac:dyDescent="0.25">
      <c r="P25" s="8"/>
      <c r="Q25" s="17"/>
      <c r="R25" s="8"/>
      <c r="S25" s="8"/>
      <c r="Y25" s="5"/>
      <c r="Z25" s="5"/>
    </row>
    <row r="26" spans="1:30" x14ac:dyDescent="0.25">
      <c r="A26" s="31" t="s">
        <v>114</v>
      </c>
      <c r="N26" t="s">
        <v>13</v>
      </c>
      <c r="O26" s="8">
        <f>SUM(O5:O24)</f>
        <v>8017037.3659984013</v>
      </c>
      <c r="P26" s="8"/>
      <c r="Q26" s="17"/>
      <c r="R26" s="8"/>
      <c r="S26" s="8"/>
      <c r="Y26" s="5"/>
      <c r="Z26" s="5"/>
    </row>
    <row r="27" spans="1:30" x14ac:dyDescent="0.25">
      <c r="A27" t="s">
        <v>101</v>
      </c>
      <c r="E27" t="s">
        <v>99</v>
      </c>
      <c r="F27" s="12">
        <f>F29/2</f>
        <v>296.11111111111109</v>
      </c>
      <c r="G27">
        <v>300</v>
      </c>
      <c r="O27" s="8"/>
      <c r="P27" s="8"/>
      <c r="Q27" s="8"/>
      <c r="R27" s="8"/>
      <c r="S27" s="8"/>
      <c r="Y27" s="5"/>
      <c r="Z27" s="5"/>
    </row>
    <row r="28" spans="1:30" x14ac:dyDescent="0.25">
      <c r="A28" t="s">
        <v>100</v>
      </c>
      <c r="O28" s="8"/>
      <c r="P28" s="8"/>
      <c r="Q28" s="8"/>
      <c r="R28" s="8"/>
      <c r="S28" s="8"/>
      <c r="Y28" s="5"/>
      <c r="Z28" s="5"/>
    </row>
    <row r="29" spans="1:30" x14ac:dyDescent="0.25">
      <c r="A29" t="s">
        <v>15</v>
      </c>
      <c r="E29" t="s">
        <v>17</v>
      </c>
      <c r="F29" s="4">
        <f>(D5*2+D8+D10+D10+D11)*40000/450/2</f>
        <v>592.22222222222217</v>
      </c>
      <c r="G29">
        <v>600</v>
      </c>
      <c r="Y29" s="5"/>
      <c r="Z29" s="5"/>
    </row>
    <row r="30" spans="1:30" x14ac:dyDescent="0.25">
      <c r="A30" t="s">
        <v>16</v>
      </c>
      <c r="E30" t="s">
        <v>18</v>
      </c>
      <c r="G30">
        <f>G29*450/3/600</f>
        <v>150</v>
      </c>
      <c r="Y30" s="5"/>
      <c r="Z30" s="5"/>
    </row>
    <row r="31" spans="1:30" x14ac:dyDescent="0.25">
      <c r="E31" t="s">
        <v>84</v>
      </c>
      <c r="G31" s="4">
        <f>G29/100*7*18</f>
        <v>756</v>
      </c>
      <c r="Y31" s="5"/>
      <c r="Z31" s="5"/>
    </row>
    <row r="32" spans="1:30" x14ac:dyDescent="0.25">
      <c r="Y32" s="5"/>
      <c r="Z32" s="5"/>
      <c r="AB32" s="5"/>
      <c r="AD32" s="5"/>
    </row>
    <row r="33" spans="1:4" x14ac:dyDescent="0.25">
      <c r="A33" s="31" t="s">
        <v>115</v>
      </c>
    </row>
    <row r="34" spans="1:4" ht="45" x14ac:dyDescent="0.25">
      <c r="A34" s="7" t="s">
        <v>39</v>
      </c>
      <c r="B34" s="25" t="s">
        <v>86</v>
      </c>
      <c r="C34" s="25" t="s">
        <v>40</v>
      </c>
      <c r="D34" s="25" t="s">
        <v>41</v>
      </c>
    </row>
    <row r="35" spans="1:4" x14ac:dyDescent="0.25">
      <c r="A35" s="8" t="s">
        <v>46</v>
      </c>
      <c r="B35" s="17">
        <f>G30</f>
        <v>150</v>
      </c>
      <c r="C35" s="5">
        <f>SQRT(B35/1000/60/3.14)*1000</f>
        <v>28.216632399155017</v>
      </c>
      <c r="D35" s="5">
        <f>SQRT(B35*3/4/1000/60/3.14)*1000</f>
        <v>24.436320466915294</v>
      </c>
    </row>
    <row r="36" spans="1:4" x14ac:dyDescent="0.25">
      <c r="A36" s="8" t="s">
        <v>61</v>
      </c>
      <c r="B36" s="17">
        <f>D5*1000/15</f>
        <v>216.66666666666666</v>
      </c>
      <c r="C36" s="5">
        <f>SQRT(B36/1000/60/3.14)*1000</f>
        <v>33.91217164535729</v>
      </c>
      <c r="D36" s="5">
        <f>SQRT(B36*3/4/1000/60/3.14)*1000</f>
        <v>29.368802142377746</v>
      </c>
    </row>
    <row r="37" spans="1:4" x14ac:dyDescent="0.25">
      <c r="A37" s="8" t="s">
        <v>62</v>
      </c>
      <c r="B37" s="17">
        <f>D8*1000/15</f>
        <v>216.66666666666666</v>
      </c>
      <c r="C37" s="5">
        <f t="shared" ref="C37:C48" si="19">SQRT(B37/1000/60/3.14)*1000</f>
        <v>33.91217164535729</v>
      </c>
      <c r="D37" s="5">
        <f t="shared" ref="D37:D48" si="20">SQRT(B37*3/4/1000/60/3.14)*1000</f>
        <v>29.368802142377746</v>
      </c>
    </row>
    <row r="38" spans="1:4" x14ac:dyDescent="0.25">
      <c r="A38" s="8" t="s">
        <v>63</v>
      </c>
      <c r="B38" s="17">
        <f>D9*1000*0.1/60</f>
        <v>5.416666666666667</v>
      </c>
      <c r="C38" s="5">
        <f t="shared" si="19"/>
        <v>5.361985140095447</v>
      </c>
      <c r="D38" s="5">
        <f t="shared" si="20"/>
        <v>4.6436153460373184</v>
      </c>
    </row>
    <row r="39" spans="1:4" x14ac:dyDescent="0.25">
      <c r="A39" s="8" t="s">
        <v>47</v>
      </c>
      <c r="B39" s="17">
        <f>D9*1000*0.9/60</f>
        <v>48.75</v>
      </c>
      <c r="C39" s="5">
        <f t="shared" si="19"/>
        <v>16.085955420286339</v>
      </c>
      <c r="D39" s="5">
        <f t="shared" si="20"/>
        <v>13.930846038111957</v>
      </c>
    </row>
    <row r="40" spans="1:4" x14ac:dyDescent="0.25">
      <c r="A40" s="8" t="s">
        <v>64</v>
      </c>
      <c r="B40" s="17">
        <f>B39</f>
        <v>48.75</v>
      </c>
      <c r="C40" s="5">
        <f t="shared" si="19"/>
        <v>16.085955420286339</v>
      </c>
      <c r="D40" s="5">
        <f t="shared" si="20"/>
        <v>13.930846038111957</v>
      </c>
    </row>
    <row r="41" spans="1:4" x14ac:dyDescent="0.25">
      <c r="A41" s="8" t="s">
        <v>65</v>
      </c>
      <c r="B41" s="17">
        <f>D10*1000/60</f>
        <v>8.125</v>
      </c>
      <c r="C41" s="5">
        <f t="shared" si="19"/>
        <v>6.5670638008098097</v>
      </c>
      <c r="D41" s="5">
        <f t="shared" si="20"/>
        <v>5.6872440797744854</v>
      </c>
    </row>
    <row r="42" spans="1:4" x14ac:dyDescent="0.25">
      <c r="A42" s="8" t="s">
        <v>66</v>
      </c>
      <c r="B42" s="17">
        <f>D11*1000/60</f>
        <v>43.333333333333336</v>
      </c>
      <c r="C42" s="5">
        <f t="shared" si="19"/>
        <v>15.165984212731964</v>
      </c>
      <c r="D42" s="5">
        <f t="shared" si="20"/>
        <v>13.134127601619619</v>
      </c>
    </row>
    <row r="43" spans="1:4" x14ac:dyDescent="0.25">
      <c r="A43" s="8" t="s">
        <v>67</v>
      </c>
      <c r="B43" s="17">
        <f>10000/60</f>
        <v>166.66666666666666</v>
      </c>
      <c r="C43" s="5">
        <f t="shared" si="19"/>
        <v>29.742942093677069</v>
      </c>
      <c r="D43" s="5">
        <f t="shared" si="20"/>
        <v>25.75814343641386</v>
      </c>
    </row>
    <row r="44" spans="1:4" x14ac:dyDescent="0.25">
      <c r="A44" s="8" t="s">
        <v>68</v>
      </c>
      <c r="B44" s="17">
        <f>G29*1.2/60</f>
        <v>12</v>
      </c>
      <c r="C44" s="5">
        <f t="shared" si="19"/>
        <v>7.9808688446762215</v>
      </c>
      <c r="D44" s="5">
        <f t="shared" si="20"/>
        <v>6.9116351637613711</v>
      </c>
    </row>
    <row r="45" spans="1:4" x14ac:dyDescent="0.25">
      <c r="A45" s="8" t="s">
        <v>69</v>
      </c>
      <c r="B45" s="17">
        <f>D6*1000/60</f>
        <v>16.666666666666668</v>
      </c>
      <c r="C45" s="5">
        <f t="shared" si="19"/>
        <v>9.4055441330516718</v>
      </c>
      <c r="D45" s="5">
        <f t="shared" si="20"/>
        <v>8.1454401556384326</v>
      </c>
    </row>
    <row r="46" spans="1:4" x14ac:dyDescent="0.25">
      <c r="A46" s="8" t="s">
        <v>70</v>
      </c>
      <c r="B46" s="17">
        <f>10000/60</f>
        <v>166.66666666666666</v>
      </c>
      <c r="C46" s="5">
        <f t="shared" si="19"/>
        <v>29.742942093677069</v>
      </c>
      <c r="D46" s="5">
        <f t="shared" si="20"/>
        <v>25.75814343641386</v>
      </c>
    </row>
    <row r="47" spans="1:4" x14ac:dyDescent="0.25">
      <c r="A47" s="8" t="s">
        <v>71</v>
      </c>
      <c r="B47" s="17">
        <f>D7*1000/60</f>
        <v>50</v>
      </c>
      <c r="C47" s="5">
        <f t="shared" si="19"/>
        <v>16.290880311276865</v>
      </c>
      <c r="D47" s="5">
        <f t="shared" si="20"/>
        <v>14.108316199577509</v>
      </c>
    </row>
    <row r="48" spans="1:4" x14ac:dyDescent="0.25">
      <c r="A48" s="8" t="s">
        <v>72</v>
      </c>
      <c r="B48" s="17">
        <f>10000/60</f>
        <v>166.66666666666666</v>
      </c>
      <c r="C48" s="5">
        <f t="shared" si="19"/>
        <v>29.742942093677069</v>
      </c>
      <c r="D48" s="5">
        <f t="shared" si="20"/>
        <v>25.75814343641386</v>
      </c>
    </row>
  </sheetData>
  <mergeCells count="4">
    <mergeCell ref="X17:Y17"/>
    <mergeCell ref="H4:I4"/>
    <mergeCell ref="X9:Y9"/>
    <mergeCell ref="X13:Y1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sqref="A1:D1"/>
    </sheetView>
  </sheetViews>
  <sheetFormatPr defaultRowHeight="15" x14ac:dyDescent="0.25"/>
  <cols>
    <col min="6" max="6" width="10" customWidth="1"/>
    <col min="10" max="10" width="15.140625" customWidth="1"/>
    <col min="13" max="13" width="13.140625" customWidth="1"/>
    <col min="14" max="14" width="12.140625" customWidth="1"/>
    <col min="15" max="15" width="11.42578125" customWidth="1"/>
    <col min="16" max="16" width="10.5703125" bestFit="1" customWidth="1"/>
  </cols>
  <sheetData>
    <row r="1" spans="1:16" ht="19.5" customHeight="1" x14ac:dyDescent="0.25">
      <c r="A1" s="35" t="s">
        <v>19</v>
      </c>
      <c r="B1" s="35"/>
      <c r="C1" s="35"/>
      <c r="D1" s="35"/>
      <c r="E1">
        <v>200</v>
      </c>
    </row>
    <row r="2" spans="1:16" ht="33" customHeight="1" x14ac:dyDescent="0.25">
      <c r="A2" s="33" t="s">
        <v>113</v>
      </c>
      <c r="B2" s="32"/>
      <c r="C2" s="32"/>
      <c r="D2" s="32"/>
    </row>
    <row r="3" spans="1:16" x14ac:dyDescent="0.25">
      <c r="A3" t="s">
        <v>34</v>
      </c>
      <c r="B3">
        <v>5000</v>
      </c>
      <c r="C3" t="s">
        <v>35</v>
      </c>
      <c r="J3" s="28"/>
      <c r="K3" s="28"/>
      <c r="L3" s="1"/>
    </row>
    <row r="4" spans="1:16" ht="60" x14ac:dyDescent="0.25">
      <c r="A4" s="13" t="s">
        <v>3</v>
      </c>
      <c r="B4" s="13" t="s">
        <v>33</v>
      </c>
      <c r="C4" s="13" t="s">
        <v>4</v>
      </c>
      <c r="D4" s="13" t="s">
        <v>5</v>
      </c>
      <c r="E4" s="13" t="s">
        <v>6</v>
      </c>
      <c r="F4" s="13" t="s">
        <v>10</v>
      </c>
      <c r="G4" s="13" t="s">
        <v>105</v>
      </c>
      <c r="H4" s="13" t="s">
        <v>12</v>
      </c>
      <c r="I4" s="13" t="s">
        <v>116</v>
      </c>
      <c r="J4" s="14" t="s">
        <v>11</v>
      </c>
      <c r="K4" s="16" t="s">
        <v>42</v>
      </c>
      <c r="L4" s="16" t="s">
        <v>44</v>
      </c>
      <c r="M4" s="16" t="s">
        <v>43</v>
      </c>
      <c r="N4" s="16" t="s">
        <v>45</v>
      </c>
    </row>
    <row r="5" spans="1:16" x14ac:dyDescent="0.25">
      <c r="A5" s="3" t="s">
        <v>1</v>
      </c>
      <c r="B5">
        <v>375</v>
      </c>
      <c r="C5">
        <v>1200</v>
      </c>
      <c r="D5" s="4">
        <f>SQRT(B5*4/C5/3.14159)*1000</f>
        <v>630.78339690506732</v>
      </c>
      <c r="E5">
        <v>650</v>
      </c>
      <c r="F5" s="5">
        <v>4</v>
      </c>
      <c r="G5" s="5">
        <f>3.14159*E5*C5*F5*7.85/1000000</f>
        <v>76.943822280000006</v>
      </c>
      <c r="H5" s="5">
        <f>E5*E5*1.22*1.22*F5*7.85*2/1000000</f>
        <v>39.491717199999997</v>
      </c>
      <c r="I5" s="5">
        <f t="shared" ref="I5:I14" si="0">G5*0.2</f>
        <v>15.388764456000002</v>
      </c>
      <c r="J5" s="8">
        <f>(G5+H5+I5)*E1</f>
        <v>26364.860787200003</v>
      </c>
      <c r="K5" s="5">
        <f t="shared" ref="K5:K10" si="1">G5+H5+I5</f>
        <v>131.82430393600001</v>
      </c>
      <c r="L5" s="5">
        <f>K5*0.8</f>
        <v>105.45944314880001</v>
      </c>
      <c r="M5" s="5">
        <f>K5+L5</f>
        <v>237.28374708480001</v>
      </c>
      <c r="N5" s="5">
        <f>M5</f>
        <v>237.28374708480001</v>
      </c>
    </row>
    <row r="6" spans="1:16" x14ac:dyDescent="0.25">
      <c r="A6" t="s">
        <v>22</v>
      </c>
      <c r="B6">
        <v>1500</v>
      </c>
      <c r="C6">
        <v>1750</v>
      </c>
      <c r="D6" s="4">
        <f>SQRT(B6*4/C6/3.14159)*1000</f>
        <v>1044.6765542619971</v>
      </c>
      <c r="E6">
        <v>1000</v>
      </c>
      <c r="F6" s="5">
        <v>8</v>
      </c>
      <c r="G6" s="5">
        <f>3.14159*E6*C6*F6*7.85*2/1000000</f>
        <v>690.52148199999988</v>
      </c>
      <c r="H6" s="5">
        <f>E6*E6*1.22*1.22*F6*7.85*2/1000000</f>
        <v>186.94304</v>
      </c>
      <c r="I6" s="5">
        <f t="shared" si="0"/>
        <v>138.10429639999998</v>
      </c>
      <c r="J6" s="8">
        <f>(G6+H6+I6)*E1</f>
        <v>203113.76367999997</v>
      </c>
      <c r="K6" s="5">
        <f t="shared" si="1"/>
        <v>1015.5688183999998</v>
      </c>
      <c r="L6" s="5">
        <f t="shared" ref="L6:L10" si="2">K6*0.8</f>
        <v>812.45505471999991</v>
      </c>
      <c r="M6" s="5">
        <f t="shared" ref="M6:M10" si="3">K6+L6</f>
        <v>1828.0238731199997</v>
      </c>
      <c r="N6" s="5">
        <f t="shared" ref="N6:N14" si="4">M6</f>
        <v>1828.0238731199997</v>
      </c>
    </row>
    <row r="7" spans="1:16" x14ac:dyDescent="0.25">
      <c r="A7" t="s">
        <v>7</v>
      </c>
      <c r="B7" s="4">
        <f>3.14159*C7*E7*E7/4000000</f>
        <v>248.87283281250001</v>
      </c>
      <c r="C7">
        <v>3000</v>
      </c>
      <c r="D7" s="4"/>
      <c r="E7">
        <v>325</v>
      </c>
      <c r="F7" s="5">
        <v>6</v>
      </c>
      <c r="G7" s="5">
        <f>3.14159*E7*C7*F7*7.85/1000000</f>
        <v>144.26966677500002</v>
      </c>
      <c r="H7" s="5">
        <f>E7*E7*1.22*1.22*F7*7.85/1000000</f>
        <v>7.4046969749999993</v>
      </c>
      <c r="I7" s="5">
        <f t="shared" si="0"/>
        <v>28.853933355000006</v>
      </c>
      <c r="J7" s="8">
        <f>(G7+H7+I7)*E1*1.5</f>
        <v>54158.489131500006</v>
      </c>
      <c r="K7" s="5">
        <f t="shared" si="1"/>
        <v>180.52829710500004</v>
      </c>
      <c r="L7" s="5">
        <f t="shared" si="2"/>
        <v>144.42263768400002</v>
      </c>
      <c r="M7" s="5">
        <f t="shared" si="3"/>
        <v>324.95093478900003</v>
      </c>
      <c r="N7" s="5">
        <f t="shared" si="4"/>
        <v>324.95093478900003</v>
      </c>
    </row>
    <row r="8" spans="1:16" x14ac:dyDescent="0.25">
      <c r="A8" t="s">
        <v>23</v>
      </c>
      <c r="B8">
        <v>150</v>
      </c>
      <c r="C8">
        <v>700</v>
      </c>
      <c r="D8" s="4">
        <f>SQRT(B8*4/C8/3.14159)*1000</f>
        <v>522.33827713099856</v>
      </c>
      <c r="E8">
        <v>500</v>
      </c>
      <c r="F8" s="5">
        <v>6</v>
      </c>
      <c r="G8" s="5">
        <f>3.14159*E8*C8*F8*7.85/1000000</f>
        <v>51.789111149999997</v>
      </c>
      <c r="H8" s="5">
        <f>E8*E8*1.22*1.22*F8*7.85*2/1000000</f>
        <v>35.051819999999999</v>
      </c>
      <c r="I8" s="5">
        <f t="shared" si="0"/>
        <v>10.35782223</v>
      </c>
      <c r="J8" s="8">
        <f>(G8+H8+I8)*E1</f>
        <v>19439.750675999996</v>
      </c>
      <c r="K8" s="5">
        <f t="shared" si="1"/>
        <v>97.198753379999985</v>
      </c>
      <c r="L8" s="5">
        <f t="shared" si="2"/>
        <v>77.759002703999997</v>
      </c>
      <c r="M8" s="5">
        <f t="shared" si="3"/>
        <v>174.95775608399998</v>
      </c>
      <c r="N8" s="5">
        <f t="shared" si="4"/>
        <v>174.95775608399998</v>
      </c>
    </row>
    <row r="9" spans="1:16" x14ac:dyDescent="0.25">
      <c r="A9" t="s">
        <v>8</v>
      </c>
      <c r="B9">
        <v>750</v>
      </c>
      <c r="C9" s="10">
        <v>1750</v>
      </c>
      <c r="D9" s="4">
        <f>SQRT(B9*4/C9/3.14159)*1000</f>
        <v>738.69787566525451</v>
      </c>
      <c r="E9">
        <v>750</v>
      </c>
      <c r="F9" s="5">
        <v>8</v>
      </c>
      <c r="G9" s="5">
        <f>3.14159*E9*C9*F9*7.85*2/1000000</f>
        <v>517.89111149999997</v>
      </c>
      <c r="H9" s="5">
        <f>E9*E9*1.22*1.22*F9*7.85*2/1000000</f>
        <v>105.15546000000001</v>
      </c>
      <c r="I9" s="5">
        <f t="shared" si="0"/>
        <v>103.57822229999999</v>
      </c>
      <c r="J9" s="8">
        <f>(G9+H9+I9)*E1</f>
        <v>145324.95876000001</v>
      </c>
      <c r="K9" s="5">
        <f t="shared" si="1"/>
        <v>726.62479380000002</v>
      </c>
      <c r="L9" s="5">
        <f t="shared" si="2"/>
        <v>581.29983504000006</v>
      </c>
      <c r="M9" s="5">
        <f t="shared" si="3"/>
        <v>1307.92462884</v>
      </c>
      <c r="N9" s="5">
        <f t="shared" si="4"/>
        <v>1307.92462884</v>
      </c>
    </row>
    <row r="10" spans="1:16" x14ac:dyDescent="0.25">
      <c r="A10" t="s">
        <v>24</v>
      </c>
      <c r="B10" s="4">
        <f>3.14159*C10*E10*E10/4000000</f>
        <v>497.74566562500002</v>
      </c>
      <c r="C10" s="10">
        <v>6000</v>
      </c>
      <c r="D10" s="4"/>
      <c r="E10">
        <v>325</v>
      </c>
      <c r="F10" s="5">
        <v>6</v>
      </c>
      <c r="G10" s="5">
        <f>3.14159*E10*C10*F10*7.85/1000000</f>
        <v>288.53933355000004</v>
      </c>
      <c r="H10" s="5">
        <f>E10*E10*1.22*1.22*F10*7.85/1000000</f>
        <v>7.4046969749999993</v>
      </c>
      <c r="I10" s="5">
        <f t="shared" si="0"/>
        <v>57.707866710000012</v>
      </c>
      <c r="J10" s="8">
        <f>(G10+H10+I10)*E1</f>
        <v>70730.379447000014</v>
      </c>
      <c r="K10" s="5">
        <f t="shared" si="1"/>
        <v>353.65189723500004</v>
      </c>
      <c r="L10" s="5">
        <f t="shared" si="2"/>
        <v>282.92151778800002</v>
      </c>
      <c r="M10" s="5">
        <f t="shared" si="3"/>
        <v>636.57341502300005</v>
      </c>
      <c r="N10" s="5">
        <f t="shared" si="4"/>
        <v>636.57341502300005</v>
      </c>
    </row>
    <row r="11" spans="1:16" x14ac:dyDescent="0.25">
      <c r="A11" t="s">
        <v>9</v>
      </c>
      <c r="B11">
        <v>375</v>
      </c>
      <c r="C11" s="10">
        <v>1200</v>
      </c>
      <c r="D11" s="4">
        <f>SQRT(B11*4/C11/3.14159)*1000</f>
        <v>630.78339690506732</v>
      </c>
      <c r="E11">
        <v>650</v>
      </c>
      <c r="F11" s="5">
        <v>6</v>
      </c>
      <c r="G11" s="5">
        <f>3.14159*E11*C11*F11*7.85/1000000</f>
        <v>115.41573342</v>
      </c>
      <c r="H11" s="5">
        <f>E11*E11*1.22*1.22*F11*7.85*2/1000000</f>
        <v>59.237575799999995</v>
      </c>
      <c r="I11" s="5">
        <f t="shared" si="0"/>
        <v>23.083146683999999</v>
      </c>
      <c r="J11" s="8">
        <f>(G11+H11+I11)*E1*2.5</f>
        <v>98868.227951999987</v>
      </c>
      <c r="K11" s="5">
        <f t="shared" ref="K11:K14" si="5">G11+H11+I11</f>
        <v>197.73645590399997</v>
      </c>
      <c r="L11" s="5">
        <f t="shared" ref="L11:L14" si="6">K11*0.8</f>
        <v>158.18916472319998</v>
      </c>
      <c r="M11" s="5">
        <f t="shared" ref="M11:M14" si="7">K11+L11</f>
        <v>355.92562062719992</v>
      </c>
      <c r="N11" s="5">
        <f t="shared" si="4"/>
        <v>355.92562062719992</v>
      </c>
    </row>
    <row r="12" spans="1:16" x14ac:dyDescent="0.25">
      <c r="A12" t="s">
        <v>25</v>
      </c>
      <c r="B12">
        <v>750</v>
      </c>
      <c r="C12" s="10">
        <v>1750</v>
      </c>
      <c r="D12" s="4">
        <f>SQRT(B12*4/C12/3.14159)*1000</f>
        <v>738.69787566525451</v>
      </c>
      <c r="E12">
        <v>750</v>
      </c>
      <c r="F12" s="5">
        <v>8</v>
      </c>
      <c r="G12" s="5">
        <f>3.14159*E12*C12*F12*7.85*2/1000000</f>
        <v>517.89111149999997</v>
      </c>
      <c r="H12" s="5">
        <f>E12*E12*1.22*1.22*F12*7.85*2/1000000</f>
        <v>105.15546000000001</v>
      </c>
      <c r="I12" s="5">
        <f t="shared" si="0"/>
        <v>103.57822229999999</v>
      </c>
      <c r="J12" s="8">
        <f>(G12+H12+I12)*E1</f>
        <v>145324.95876000001</v>
      </c>
      <c r="K12" s="5">
        <f t="shared" si="5"/>
        <v>726.62479380000002</v>
      </c>
      <c r="L12" s="5">
        <f t="shared" si="6"/>
        <v>581.29983504000006</v>
      </c>
      <c r="M12" s="5">
        <f t="shared" si="7"/>
        <v>1307.92462884</v>
      </c>
      <c r="N12" s="5">
        <f t="shared" si="4"/>
        <v>1307.92462884</v>
      </c>
    </row>
    <row r="13" spans="1:16" x14ac:dyDescent="0.25">
      <c r="A13" t="s">
        <v>26</v>
      </c>
      <c r="B13" s="4">
        <f>3.14159*C13*E13*E13/4000000</f>
        <v>497.74566562500002</v>
      </c>
      <c r="C13" s="10">
        <v>6000</v>
      </c>
      <c r="D13" s="4"/>
      <c r="E13">
        <v>325</v>
      </c>
      <c r="F13" s="5">
        <v>6</v>
      </c>
      <c r="G13" s="5">
        <f>3.14159*E13*C13*F13*7.85/1000000</f>
        <v>288.53933355000004</v>
      </c>
      <c r="H13" s="5">
        <f>E13*E13*1.22*1.22*F13*7.85/1000000</f>
        <v>7.4046969749999993</v>
      </c>
      <c r="I13" s="5">
        <f t="shared" si="0"/>
        <v>57.707866710000012</v>
      </c>
      <c r="J13" s="8">
        <f>(G13+H13+I13)*E1</f>
        <v>70730.379447000014</v>
      </c>
      <c r="K13" s="5">
        <f t="shared" si="5"/>
        <v>353.65189723500004</v>
      </c>
      <c r="L13" s="5">
        <f t="shared" si="6"/>
        <v>282.92151778800002</v>
      </c>
      <c r="M13" s="5">
        <f t="shared" si="7"/>
        <v>636.57341502300005</v>
      </c>
      <c r="N13" s="5">
        <f t="shared" si="4"/>
        <v>636.57341502300005</v>
      </c>
    </row>
    <row r="14" spans="1:16" x14ac:dyDescent="0.25">
      <c r="A14" t="s">
        <v>27</v>
      </c>
      <c r="B14">
        <v>375</v>
      </c>
      <c r="C14" s="10">
        <v>1200</v>
      </c>
      <c r="D14" s="4">
        <f>SQRT(B14*4/C14/3.14159)*1000</f>
        <v>630.78339690506732</v>
      </c>
      <c r="E14">
        <v>650</v>
      </c>
      <c r="F14" s="5">
        <v>8</v>
      </c>
      <c r="G14" s="5">
        <f>3.14159*E14*C14*F14*7.85/1000000</f>
        <v>153.88764456000001</v>
      </c>
      <c r="H14" s="5">
        <f>E14*E14*1.22*1.22*F14*7.85*2/1000000</f>
        <v>78.983434399999993</v>
      </c>
      <c r="I14" s="5">
        <f t="shared" si="0"/>
        <v>30.777528912000005</v>
      </c>
      <c r="J14" s="8">
        <f>(G14+H14+I14)*E1</f>
        <v>52729.721574400006</v>
      </c>
      <c r="K14" s="5">
        <f t="shared" si="5"/>
        <v>263.64860787200001</v>
      </c>
      <c r="L14" s="5">
        <f t="shared" si="6"/>
        <v>210.91888629760001</v>
      </c>
      <c r="M14" s="5">
        <f t="shared" si="7"/>
        <v>474.56749416960002</v>
      </c>
      <c r="N14" s="5">
        <f t="shared" si="4"/>
        <v>474.56749416960002</v>
      </c>
    </row>
    <row r="15" spans="1:16" x14ac:dyDescent="0.25">
      <c r="A15" t="s">
        <v>117</v>
      </c>
      <c r="C15" s="10"/>
      <c r="D15" s="4"/>
      <c r="F15" s="5"/>
      <c r="G15" s="5"/>
      <c r="H15" s="5"/>
      <c r="I15" s="5"/>
      <c r="J15" s="8">
        <v>200000</v>
      </c>
      <c r="K15" s="12"/>
      <c r="L15" s="4"/>
      <c r="M15" s="5"/>
      <c r="N15" s="5"/>
      <c r="O15" s="5"/>
      <c r="P15" s="5"/>
    </row>
    <row r="16" spans="1:16" x14ac:dyDescent="0.25">
      <c r="C16" s="10"/>
      <c r="D16" s="4"/>
      <c r="F16" s="5"/>
      <c r="G16" s="5"/>
      <c r="H16" s="5"/>
      <c r="I16" s="5"/>
      <c r="J16" s="8"/>
      <c r="K16" s="12"/>
      <c r="L16" s="4"/>
      <c r="M16" s="5"/>
      <c r="N16" s="5"/>
      <c r="O16" s="5"/>
      <c r="P16" s="5"/>
    </row>
    <row r="17" spans="1:10" x14ac:dyDescent="0.25">
      <c r="I17" s="5" t="s">
        <v>13</v>
      </c>
      <c r="J17" s="8">
        <f>SUM(J5:J15)</f>
        <v>1086785.4902150999</v>
      </c>
    </row>
    <row r="20" spans="1:10" x14ac:dyDescent="0.25">
      <c r="A20" s="31" t="s">
        <v>114</v>
      </c>
    </row>
    <row r="21" spans="1:10" x14ac:dyDescent="0.25">
      <c r="A21" t="s">
        <v>38</v>
      </c>
      <c r="E21" t="s">
        <v>37</v>
      </c>
      <c r="F21">
        <f>B3*80/24*5</f>
        <v>83333.333333333343</v>
      </c>
    </row>
    <row r="22" spans="1:10" x14ac:dyDescent="0.25">
      <c r="A22" t="s">
        <v>16</v>
      </c>
      <c r="E22" t="s">
        <v>18</v>
      </c>
      <c r="F22" s="4">
        <f>F21*0.2/3/60</f>
        <v>92.592592592592595</v>
      </c>
    </row>
    <row r="24" spans="1:10" x14ac:dyDescent="0.25">
      <c r="A24" s="31" t="s">
        <v>115</v>
      </c>
    </row>
    <row r="25" spans="1:10" ht="45" x14ac:dyDescent="0.25">
      <c r="A25" s="13" t="s">
        <v>20</v>
      </c>
      <c r="B25" s="13" t="s">
        <v>36</v>
      </c>
    </row>
    <row r="26" spans="1:10" x14ac:dyDescent="0.25">
      <c r="A26" s="12" t="s">
        <v>28</v>
      </c>
      <c r="B26" s="4">
        <f>B3*0.95/16</f>
        <v>296.875</v>
      </c>
    </row>
    <row r="27" spans="1:10" x14ac:dyDescent="0.25">
      <c r="A27" s="12" t="s">
        <v>29</v>
      </c>
      <c r="B27" s="4">
        <f>B3*0.15/16</f>
        <v>46.875</v>
      </c>
    </row>
    <row r="28" spans="1:10" x14ac:dyDescent="0.25">
      <c r="A28" s="12" t="s">
        <v>30</v>
      </c>
      <c r="B28" s="4">
        <f>B3*0.5/16</f>
        <v>156.25</v>
      </c>
    </row>
    <row r="29" spans="1:10" x14ac:dyDescent="0.25">
      <c r="A29" s="12" t="s">
        <v>21</v>
      </c>
      <c r="B29" s="4">
        <f>B3*0.5/16</f>
        <v>156.25</v>
      </c>
    </row>
    <row r="30" spans="1:10" x14ac:dyDescent="0.25">
      <c r="A30" s="12" t="s">
        <v>31</v>
      </c>
      <c r="B30" s="4">
        <f>B3*0.15/16</f>
        <v>46.875</v>
      </c>
    </row>
    <row r="31" spans="1:10" x14ac:dyDescent="0.25">
      <c r="A31" s="12" t="s">
        <v>32</v>
      </c>
      <c r="B31" s="4">
        <f>B3*0.5/16</f>
        <v>156.25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biodiesel</vt:lpstr>
      <vt:lpstr>distilation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 Lele</dc:creator>
  <cp:lastModifiedBy>Satish LelE</cp:lastModifiedBy>
  <dcterms:created xsi:type="dcterms:W3CDTF">2017-08-01T06:27:55Z</dcterms:created>
  <dcterms:modified xsi:type="dcterms:W3CDTF">2024-03-23T12:06:38Z</dcterms:modified>
</cp:coreProperties>
</file>