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webpage\svlele\bd\"/>
    </mc:Choice>
  </mc:AlternateContent>
  <bookViews>
    <workbookView xWindow="0" yWindow="0" windowWidth="10785" windowHeight="9375"/>
  </bookViews>
  <sheets>
    <sheet name="biodiesel" sheetId="1" r:id="rId1"/>
    <sheet name="distilation" sheetId="3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03" i="1" l="1"/>
  <c r="O202" i="1"/>
  <c r="O201" i="1"/>
  <c r="O200" i="1"/>
  <c r="O199" i="1"/>
  <c r="O198" i="1"/>
  <c r="O192" i="1"/>
  <c r="O191" i="1"/>
  <c r="O189" i="1"/>
  <c r="O188" i="1"/>
  <c r="O185" i="1"/>
  <c r="O173" i="1" l="1"/>
  <c r="O172" i="1"/>
  <c r="O171" i="1"/>
  <c r="O170" i="1"/>
  <c r="O169" i="1"/>
  <c r="O168" i="1"/>
  <c r="O165" i="1"/>
  <c r="O162" i="1"/>
  <c r="O161" i="1"/>
  <c r="O159" i="1"/>
  <c r="O158" i="1"/>
  <c r="O155" i="1"/>
  <c r="O143" i="1" l="1"/>
  <c r="O142" i="1"/>
  <c r="O141" i="1"/>
  <c r="O140" i="1"/>
  <c r="O139" i="1"/>
  <c r="O138" i="1"/>
  <c r="O131" i="1"/>
  <c r="O130" i="1"/>
  <c r="O128" i="1"/>
  <c r="O127" i="1"/>
  <c r="O124" i="1"/>
  <c r="O114" i="1" l="1"/>
  <c r="O113" i="1"/>
  <c r="O112" i="1"/>
  <c r="O111" i="1"/>
  <c r="O110" i="1"/>
  <c r="O109" i="1"/>
  <c r="O102" i="1"/>
  <c r="O101" i="1"/>
  <c r="O99" i="1"/>
  <c r="O98" i="1"/>
  <c r="O95" i="1"/>
  <c r="O84" i="1" l="1"/>
  <c r="O83" i="1"/>
  <c r="O82" i="1"/>
  <c r="O81" i="1"/>
  <c r="O80" i="1"/>
  <c r="O79" i="1"/>
  <c r="O71" i="1"/>
  <c r="O70" i="1"/>
  <c r="O68" i="1"/>
  <c r="O67" i="1"/>
  <c r="O64" i="1"/>
  <c r="J57" i="3" l="1"/>
  <c r="J42" i="3"/>
  <c r="J27" i="3"/>
  <c r="J11" i="3"/>
  <c r="J39" i="3"/>
  <c r="J23" i="3"/>
  <c r="O53" i="1"/>
  <c r="O52" i="1"/>
  <c r="O51" i="1"/>
  <c r="O50" i="1"/>
  <c r="O49" i="1"/>
  <c r="O48" i="1"/>
  <c r="O40" i="1"/>
  <c r="O39" i="1"/>
  <c r="O37" i="1"/>
  <c r="O36" i="1"/>
  <c r="O33" i="1"/>
  <c r="J7" i="3" l="1"/>
  <c r="O25" i="1"/>
  <c r="O24" i="1"/>
  <c r="O23" i="1"/>
  <c r="O22" i="1"/>
  <c r="O21" i="1"/>
  <c r="O20" i="1"/>
  <c r="O12" i="1"/>
  <c r="O11" i="1"/>
  <c r="O9" i="1"/>
  <c r="O8" i="1"/>
  <c r="O5" i="1"/>
  <c r="N60" i="3" l="1"/>
  <c r="N59" i="3"/>
  <c r="N58" i="3"/>
  <c r="N57" i="3"/>
  <c r="N56" i="3"/>
  <c r="N55" i="3"/>
  <c r="N53" i="3"/>
  <c r="N52" i="3"/>
  <c r="N51" i="3"/>
  <c r="K60" i="3"/>
  <c r="L60" i="3" s="1"/>
  <c r="K59" i="3"/>
  <c r="L59" i="3" s="1"/>
  <c r="K58" i="3"/>
  <c r="L58" i="3" s="1"/>
  <c r="K57" i="3"/>
  <c r="L57" i="3" s="1"/>
  <c r="M57" i="3" l="1"/>
  <c r="M58" i="3"/>
  <c r="M59" i="3"/>
  <c r="M60" i="3"/>
  <c r="G58" i="3"/>
  <c r="G55" i="3"/>
  <c r="G52" i="3"/>
  <c r="G43" i="3"/>
  <c r="G40" i="3"/>
  <c r="G37" i="3"/>
  <c r="G28" i="3"/>
  <c r="G25" i="3"/>
  <c r="G22" i="3"/>
  <c r="G12" i="3"/>
  <c r="G9" i="3"/>
  <c r="G6" i="3"/>
  <c r="H60" i="3"/>
  <c r="G60" i="3"/>
  <c r="H59" i="3"/>
  <c r="G59" i="3"/>
  <c r="H58" i="3"/>
  <c r="H57" i="3"/>
  <c r="G57" i="3"/>
  <c r="H56" i="3"/>
  <c r="G56" i="3"/>
  <c r="H55" i="3"/>
  <c r="H53" i="3"/>
  <c r="G53" i="3"/>
  <c r="H52" i="3"/>
  <c r="H51" i="3"/>
  <c r="G51" i="3"/>
  <c r="H45" i="3"/>
  <c r="G45" i="3"/>
  <c r="H44" i="3"/>
  <c r="G44" i="3"/>
  <c r="H43" i="3"/>
  <c r="H42" i="3"/>
  <c r="G42" i="3"/>
  <c r="H41" i="3"/>
  <c r="G41" i="3"/>
  <c r="H40" i="3"/>
  <c r="H38" i="3"/>
  <c r="G38" i="3"/>
  <c r="H37" i="3"/>
  <c r="H36" i="3"/>
  <c r="G36" i="3"/>
  <c r="H30" i="3"/>
  <c r="G30" i="3"/>
  <c r="H29" i="3"/>
  <c r="G29" i="3"/>
  <c r="H28" i="3"/>
  <c r="H27" i="3"/>
  <c r="G27" i="3"/>
  <c r="H26" i="3"/>
  <c r="G26" i="3"/>
  <c r="H25" i="3"/>
  <c r="H23" i="3"/>
  <c r="G23" i="3"/>
  <c r="H22" i="3"/>
  <c r="H21" i="3"/>
  <c r="G21" i="3"/>
  <c r="H14" i="3"/>
  <c r="G14" i="3"/>
  <c r="H13" i="3"/>
  <c r="G13" i="3"/>
  <c r="H12" i="3"/>
  <c r="H11" i="3"/>
  <c r="G11" i="3"/>
  <c r="H10" i="3"/>
  <c r="G10" i="3"/>
  <c r="H9" i="3"/>
  <c r="H7" i="3"/>
  <c r="G7" i="3"/>
  <c r="H6" i="3"/>
  <c r="H5" i="3"/>
  <c r="G5" i="3"/>
  <c r="I60" i="3" l="1"/>
  <c r="I59" i="3"/>
  <c r="I58" i="3"/>
  <c r="I57" i="3"/>
  <c r="I56" i="3"/>
  <c r="I55" i="3"/>
  <c r="I53" i="3"/>
  <c r="I52" i="3"/>
  <c r="I51" i="3"/>
  <c r="I45" i="3"/>
  <c r="I44" i="3"/>
  <c r="I43" i="3"/>
  <c r="I42" i="3"/>
  <c r="I41" i="3"/>
  <c r="I40" i="3"/>
  <c r="I38" i="3"/>
  <c r="I37" i="3"/>
  <c r="I36" i="3"/>
  <c r="I30" i="3"/>
  <c r="I29" i="3"/>
  <c r="I28" i="3"/>
  <c r="I27" i="3"/>
  <c r="I26" i="3"/>
  <c r="I25" i="3"/>
  <c r="I23" i="3"/>
  <c r="I22" i="3"/>
  <c r="I21" i="3"/>
  <c r="I14" i="3"/>
  <c r="I13" i="3"/>
  <c r="I12" i="3"/>
  <c r="I11" i="3"/>
  <c r="I10" i="3"/>
  <c r="I9" i="3"/>
  <c r="I7" i="3"/>
  <c r="I6" i="3"/>
  <c r="I5" i="3"/>
  <c r="M164" i="1"/>
  <c r="M163" i="1"/>
  <c r="M133" i="1"/>
  <c r="M132" i="1"/>
  <c r="M104" i="1"/>
  <c r="M103" i="1"/>
  <c r="M73" i="1"/>
  <c r="M72" i="1"/>
  <c r="M64" i="1"/>
  <c r="M42" i="1"/>
  <c r="M41" i="1"/>
  <c r="M14" i="1"/>
  <c r="M13" i="1"/>
  <c r="L187" i="1"/>
  <c r="L164" i="1"/>
  <c r="L158" i="1"/>
  <c r="L132" i="1"/>
  <c r="L127" i="1"/>
  <c r="L104" i="1"/>
  <c r="L98" i="1"/>
  <c r="L73" i="1"/>
  <c r="L72" i="1"/>
  <c r="L70" i="1"/>
  <c r="L69" i="1"/>
  <c r="L67" i="1"/>
  <c r="L191" i="1"/>
  <c r="L190" i="1"/>
  <c r="L188" i="1"/>
  <c r="L185" i="1"/>
  <c r="L163" i="1"/>
  <c r="L161" i="1"/>
  <c r="L160" i="1"/>
  <c r="L157" i="1"/>
  <c r="L155" i="1"/>
  <c r="L133" i="1"/>
  <c r="L130" i="1"/>
  <c r="L129" i="1"/>
  <c r="L126" i="1"/>
  <c r="L124" i="1"/>
  <c r="L101" i="1"/>
  <c r="L100" i="1"/>
  <c r="L97" i="1"/>
  <c r="L95" i="1"/>
  <c r="L66" i="1"/>
  <c r="L64" i="1"/>
  <c r="L42" i="1"/>
  <c r="L41" i="1"/>
  <c r="L39" i="1"/>
  <c r="L38" i="1"/>
  <c r="L36" i="1"/>
  <c r="L35" i="1"/>
  <c r="L33" i="1"/>
  <c r="L14" i="1"/>
  <c r="L13" i="1"/>
  <c r="L8" i="1"/>
  <c r="L11" i="1"/>
  <c r="L10" i="1"/>
  <c r="L7" i="1"/>
  <c r="L5" i="1"/>
  <c r="Q171" i="1" l="1"/>
  <c r="M171" i="1"/>
  <c r="L171" i="1"/>
  <c r="F171" i="1"/>
  <c r="Q141" i="1"/>
  <c r="M141" i="1"/>
  <c r="L141" i="1"/>
  <c r="F141" i="1"/>
  <c r="Q112" i="1"/>
  <c r="M112" i="1"/>
  <c r="L112" i="1"/>
  <c r="F112" i="1"/>
  <c r="Q82" i="1"/>
  <c r="M82" i="1"/>
  <c r="L82" i="1"/>
  <c r="F82" i="1"/>
  <c r="Q51" i="1"/>
  <c r="M51" i="1"/>
  <c r="L51" i="1"/>
  <c r="F51" i="1"/>
  <c r="Q23" i="1"/>
  <c r="M23" i="1"/>
  <c r="L23" i="1"/>
  <c r="F23" i="1"/>
  <c r="N171" i="1" l="1"/>
  <c r="P171" i="1" s="1"/>
  <c r="R171" i="1" s="1"/>
  <c r="S171" i="1" s="1"/>
  <c r="N141" i="1"/>
  <c r="N112" i="1"/>
  <c r="N82" i="1"/>
  <c r="N51" i="1"/>
  <c r="P51" i="1" s="1"/>
  <c r="R51" i="1" s="1"/>
  <c r="S51" i="1" s="1"/>
  <c r="N23" i="1"/>
  <c r="G29" i="1"/>
  <c r="U5" i="1" s="1"/>
  <c r="W5" i="1" s="1"/>
  <c r="Q25" i="1"/>
  <c r="M25" i="1"/>
  <c r="L25" i="1"/>
  <c r="F25" i="1"/>
  <c r="Q24" i="1"/>
  <c r="M24" i="1"/>
  <c r="L24" i="1"/>
  <c r="F24" i="1"/>
  <c r="Q22" i="1"/>
  <c r="M22" i="1"/>
  <c r="L22" i="1"/>
  <c r="F22" i="1"/>
  <c r="Q21" i="1"/>
  <c r="M21" i="1"/>
  <c r="L21" i="1"/>
  <c r="F21" i="1"/>
  <c r="Q20" i="1"/>
  <c r="M20" i="1"/>
  <c r="L20" i="1"/>
  <c r="F20" i="1"/>
  <c r="U18" i="1"/>
  <c r="W18" i="1" s="1"/>
  <c r="D18" i="1"/>
  <c r="D17" i="1"/>
  <c r="U16" i="1"/>
  <c r="W16" i="1" s="1"/>
  <c r="D16" i="1"/>
  <c r="D15" i="1"/>
  <c r="U14" i="1"/>
  <c r="W14" i="1" s="1"/>
  <c r="U13" i="1"/>
  <c r="V13" i="1" s="1"/>
  <c r="M12" i="1"/>
  <c r="L12" i="1"/>
  <c r="M11" i="1"/>
  <c r="M10" i="1"/>
  <c r="M9" i="1"/>
  <c r="L9" i="1"/>
  <c r="M8" i="1"/>
  <c r="D8" i="1"/>
  <c r="M7" i="1"/>
  <c r="D7" i="1"/>
  <c r="U17" i="1" s="1"/>
  <c r="M6" i="1"/>
  <c r="L6" i="1"/>
  <c r="D6" i="1"/>
  <c r="Q6" i="1" s="1"/>
  <c r="M5" i="1"/>
  <c r="D5" i="1"/>
  <c r="F61" i="3"/>
  <c r="F46" i="3"/>
  <c r="F31" i="3"/>
  <c r="F16" i="3"/>
  <c r="G17" i="3" s="1"/>
  <c r="G209" i="1"/>
  <c r="U185" i="1" s="1"/>
  <c r="G179" i="1"/>
  <c r="U155" i="1" s="1"/>
  <c r="G149" i="1"/>
  <c r="U124" i="1" s="1"/>
  <c r="G118" i="1"/>
  <c r="U95" i="1" s="1"/>
  <c r="G90" i="1"/>
  <c r="U64" i="1" s="1"/>
  <c r="G59" i="1"/>
  <c r="U33" i="1" s="1"/>
  <c r="W33" i="1" s="1"/>
  <c r="Q202" i="1"/>
  <c r="Q200" i="1"/>
  <c r="Q199" i="1"/>
  <c r="Q198" i="1"/>
  <c r="Q172" i="1"/>
  <c r="Q170" i="1"/>
  <c r="Q169" i="1"/>
  <c r="Q168" i="1"/>
  <c r="Q142" i="1"/>
  <c r="Q140" i="1"/>
  <c r="Q139" i="1"/>
  <c r="Q138" i="1"/>
  <c r="Q111" i="1"/>
  <c r="Q110" i="1"/>
  <c r="Q109" i="1"/>
  <c r="Q81" i="1"/>
  <c r="Q80" i="1"/>
  <c r="Q79" i="1"/>
  <c r="Q50" i="1"/>
  <c r="Q49" i="1"/>
  <c r="Q48" i="1"/>
  <c r="U194" i="1"/>
  <c r="G210" i="1"/>
  <c r="U164" i="1"/>
  <c r="G180" i="1"/>
  <c r="U133" i="1"/>
  <c r="G150" i="1"/>
  <c r="U104" i="1"/>
  <c r="G119" i="1"/>
  <c r="G91" i="1"/>
  <c r="G60" i="1"/>
  <c r="U73" i="1"/>
  <c r="V73" i="1" s="1"/>
  <c r="U198" i="1"/>
  <c r="U196" i="1"/>
  <c r="U193" i="1"/>
  <c r="U168" i="1"/>
  <c r="U166" i="1"/>
  <c r="U163" i="1"/>
  <c r="U137" i="1"/>
  <c r="U135" i="1"/>
  <c r="U132" i="1"/>
  <c r="U108" i="1"/>
  <c r="U106" i="1"/>
  <c r="U103" i="1"/>
  <c r="U77" i="1"/>
  <c r="V77" i="1" s="1"/>
  <c r="U75" i="1"/>
  <c r="V75" i="1" s="1"/>
  <c r="U72" i="1"/>
  <c r="V72" i="1" s="1"/>
  <c r="U42" i="1"/>
  <c r="V42" i="1" s="1"/>
  <c r="D197" i="1"/>
  <c r="D167" i="1"/>
  <c r="D137" i="1"/>
  <c r="D136" i="1"/>
  <c r="D108" i="1"/>
  <c r="D107" i="1"/>
  <c r="D77" i="1"/>
  <c r="D76" i="1"/>
  <c r="D46" i="1"/>
  <c r="D45" i="1"/>
  <c r="D196" i="1"/>
  <c r="D195" i="1"/>
  <c r="D166" i="1"/>
  <c r="D165" i="1"/>
  <c r="D135" i="1"/>
  <c r="D134" i="1"/>
  <c r="D106" i="1"/>
  <c r="D105" i="1"/>
  <c r="D75" i="1"/>
  <c r="D74" i="1"/>
  <c r="D44" i="1"/>
  <c r="D43" i="1"/>
  <c r="D67" i="1"/>
  <c r="D73" i="1" s="1"/>
  <c r="D66" i="1"/>
  <c r="Q66" i="1" s="1"/>
  <c r="D65" i="1"/>
  <c r="Q65" i="1" s="1"/>
  <c r="D64" i="1"/>
  <c r="D72" i="1" s="1"/>
  <c r="D155" i="1"/>
  <c r="Q155" i="1" s="1"/>
  <c r="D185" i="1"/>
  <c r="Y187" i="1" s="1"/>
  <c r="D124" i="1"/>
  <c r="Q124" i="1" s="1"/>
  <c r="D186" i="1"/>
  <c r="U195" i="1" s="1"/>
  <c r="D156" i="1"/>
  <c r="U165" i="1" s="1"/>
  <c r="D125" i="1"/>
  <c r="U134" i="1" s="1"/>
  <c r="D96" i="1"/>
  <c r="Q96" i="1" s="1"/>
  <c r="D34" i="1"/>
  <c r="F34" i="1" s="1"/>
  <c r="D35" i="1"/>
  <c r="F35" i="1" s="1"/>
  <c r="D95" i="1"/>
  <c r="Y97" i="1" s="1"/>
  <c r="L203" i="1"/>
  <c r="L202" i="1"/>
  <c r="L201" i="1"/>
  <c r="L200" i="1"/>
  <c r="L199" i="1"/>
  <c r="L198" i="1"/>
  <c r="L173" i="1"/>
  <c r="L172" i="1"/>
  <c r="L170" i="1"/>
  <c r="L169" i="1"/>
  <c r="L168" i="1"/>
  <c r="L143" i="1"/>
  <c r="L142" i="1"/>
  <c r="L140" i="1"/>
  <c r="L139" i="1"/>
  <c r="L138" i="1"/>
  <c r="L114" i="1"/>
  <c r="N114" i="1" s="1"/>
  <c r="L113" i="1"/>
  <c r="L111" i="1"/>
  <c r="N111" i="1" s="1"/>
  <c r="L110" i="1"/>
  <c r="N110" i="1" s="1"/>
  <c r="L109" i="1"/>
  <c r="N109" i="1" s="1"/>
  <c r="L84" i="1"/>
  <c r="L83" i="1"/>
  <c r="L81" i="1"/>
  <c r="N81" i="1" s="1"/>
  <c r="L80" i="1"/>
  <c r="N80" i="1" s="1"/>
  <c r="L79" i="1"/>
  <c r="L53" i="1"/>
  <c r="L52" i="1"/>
  <c r="L50" i="1"/>
  <c r="N50" i="1" s="1"/>
  <c r="L48" i="1"/>
  <c r="L49" i="1"/>
  <c r="L103" i="1"/>
  <c r="N103" i="1" s="1"/>
  <c r="M84" i="1"/>
  <c r="M83" i="1"/>
  <c r="M81" i="1"/>
  <c r="M80" i="1"/>
  <c r="M79" i="1"/>
  <c r="N73" i="1"/>
  <c r="N72" i="1"/>
  <c r="M48" i="1"/>
  <c r="M49" i="1"/>
  <c r="M50" i="1"/>
  <c r="M53" i="1"/>
  <c r="M52" i="1"/>
  <c r="N41" i="1"/>
  <c r="P41" i="1" s="1"/>
  <c r="D36" i="1"/>
  <c r="Y46" i="1" s="1"/>
  <c r="M40" i="1"/>
  <c r="M39" i="1"/>
  <c r="M38" i="1"/>
  <c r="M35" i="1"/>
  <c r="M34" i="1"/>
  <c r="M33" i="1"/>
  <c r="L40" i="1"/>
  <c r="N40" i="1" s="1"/>
  <c r="N38" i="1"/>
  <c r="N35" i="1"/>
  <c r="L34" i="1"/>
  <c r="N34" i="1" s="1"/>
  <c r="N33" i="1"/>
  <c r="D33" i="1"/>
  <c r="Y35" i="1" s="1"/>
  <c r="M71" i="1"/>
  <c r="M70" i="1"/>
  <c r="M69" i="1"/>
  <c r="M66" i="1"/>
  <c r="M65" i="1"/>
  <c r="L71" i="1"/>
  <c r="N71" i="1" s="1"/>
  <c r="N66" i="1"/>
  <c r="L65" i="1"/>
  <c r="M102" i="1"/>
  <c r="M101" i="1"/>
  <c r="M100" i="1"/>
  <c r="M97" i="1"/>
  <c r="M96" i="1"/>
  <c r="M95" i="1"/>
  <c r="L102" i="1"/>
  <c r="N102" i="1" s="1"/>
  <c r="N100" i="1"/>
  <c r="L96" i="1"/>
  <c r="N96" i="1" s="1"/>
  <c r="N95" i="1"/>
  <c r="N163" i="1"/>
  <c r="M188" i="1"/>
  <c r="N191" i="1"/>
  <c r="N190" i="1"/>
  <c r="L192" i="1"/>
  <c r="N192" i="1" s="1"/>
  <c r="N164" i="1"/>
  <c r="M124" i="1"/>
  <c r="M125" i="1"/>
  <c r="M126" i="1"/>
  <c r="M129" i="1"/>
  <c r="M130" i="1"/>
  <c r="M131" i="1"/>
  <c r="M162" i="1"/>
  <c r="M161" i="1"/>
  <c r="M160" i="1"/>
  <c r="M159" i="1"/>
  <c r="M158" i="1"/>
  <c r="M157" i="1"/>
  <c r="M156" i="1"/>
  <c r="M155" i="1"/>
  <c r="M192" i="1"/>
  <c r="M191" i="1"/>
  <c r="M190" i="1"/>
  <c r="M189" i="1"/>
  <c r="M187" i="1"/>
  <c r="M186" i="1"/>
  <c r="L131" i="1"/>
  <c r="N131" i="1" s="1"/>
  <c r="N130" i="1"/>
  <c r="N129" i="1"/>
  <c r="L128" i="1"/>
  <c r="N126" i="1"/>
  <c r="L125" i="1"/>
  <c r="L162" i="1"/>
  <c r="N162" i="1" s="1"/>
  <c r="N161" i="1"/>
  <c r="N160" i="1"/>
  <c r="N158" i="1"/>
  <c r="L156" i="1"/>
  <c r="N156" i="1" s="1"/>
  <c r="N187" i="1"/>
  <c r="L186" i="1"/>
  <c r="N186" i="1" s="1"/>
  <c r="Q84" i="1"/>
  <c r="F84" i="1"/>
  <c r="Q83" i="1"/>
  <c r="F83" i="1"/>
  <c r="F81" i="1"/>
  <c r="F80" i="1"/>
  <c r="F79" i="1"/>
  <c r="M68" i="1"/>
  <c r="L68" i="1"/>
  <c r="Q53" i="1"/>
  <c r="F53" i="1"/>
  <c r="Q52" i="1"/>
  <c r="F52" i="1"/>
  <c r="U46" i="1"/>
  <c r="W46" i="1" s="1"/>
  <c r="F50" i="1"/>
  <c r="U44" i="1"/>
  <c r="W44" i="1" s="1"/>
  <c r="F49" i="1"/>
  <c r="F48" i="1"/>
  <c r="U41" i="1"/>
  <c r="W41" i="1" s="1"/>
  <c r="L37" i="1"/>
  <c r="M36" i="1"/>
  <c r="N70" i="1" l="1"/>
  <c r="O41" i="1"/>
  <c r="N168" i="1"/>
  <c r="N155" i="1"/>
  <c r="N127" i="1"/>
  <c r="N101" i="1"/>
  <c r="P23" i="1"/>
  <c r="R23" i="1" s="1"/>
  <c r="S23" i="1" s="1"/>
  <c r="U6" i="1"/>
  <c r="P141" i="1"/>
  <c r="R141" i="1" s="1"/>
  <c r="S141" i="1" s="1"/>
  <c r="P112" i="1"/>
  <c r="R112" i="1" s="1"/>
  <c r="S112" i="1" s="1"/>
  <c r="P82" i="1"/>
  <c r="R82" i="1" s="1"/>
  <c r="S82" i="1" s="1"/>
  <c r="D14" i="1"/>
  <c r="Q14" i="1" s="1"/>
  <c r="U7" i="1"/>
  <c r="V7" i="1" s="1"/>
  <c r="V14" i="1"/>
  <c r="V16" i="1"/>
  <c r="V18" i="1"/>
  <c r="F6" i="1"/>
  <c r="W17" i="1"/>
  <c r="V17" i="1"/>
  <c r="F5" i="1"/>
  <c r="Q5" i="1"/>
  <c r="V5" i="1"/>
  <c r="N6" i="1"/>
  <c r="O6" i="1" s="1"/>
  <c r="N7" i="1"/>
  <c r="O7" i="1" s="1"/>
  <c r="N8" i="1"/>
  <c r="P8" i="1" s="1"/>
  <c r="D9" i="1"/>
  <c r="N9" i="1"/>
  <c r="Y10" i="1"/>
  <c r="N12" i="1"/>
  <c r="D13" i="1"/>
  <c r="N13" i="1"/>
  <c r="O13" i="1" s="1"/>
  <c r="W13" i="1"/>
  <c r="Y14" i="1"/>
  <c r="Y15" i="1" s="1"/>
  <c r="U15" i="1"/>
  <c r="Y18" i="1"/>
  <c r="N20" i="1"/>
  <c r="N22" i="1"/>
  <c r="P22" i="1" s="1"/>
  <c r="R22" i="1" s="1"/>
  <c r="S22" i="1" s="1"/>
  <c r="N24" i="1"/>
  <c r="P24" i="1" s="1"/>
  <c r="R24" i="1" s="1"/>
  <c r="S24" i="1" s="1"/>
  <c r="N5" i="1"/>
  <c r="P5" i="1" s="1"/>
  <c r="R5" i="1" s="1"/>
  <c r="S5" i="1" s="1"/>
  <c r="Y6" i="1"/>
  <c r="F7" i="1"/>
  <c r="Q7" i="1"/>
  <c r="Y7" i="1"/>
  <c r="F8" i="1"/>
  <c r="Q8" i="1"/>
  <c r="Y8" i="1"/>
  <c r="Y12" i="1" s="1"/>
  <c r="D10" i="1"/>
  <c r="N10" i="1"/>
  <c r="O10" i="1" s="1"/>
  <c r="D11" i="1"/>
  <c r="N11" i="1"/>
  <c r="N14" i="1"/>
  <c r="O14" i="1" s="1"/>
  <c r="N21" i="1"/>
  <c r="P21" i="1" s="1"/>
  <c r="R21" i="1" s="1"/>
  <c r="S21" i="1" s="1"/>
  <c r="N25" i="1"/>
  <c r="P25" i="1" s="1"/>
  <c r="R25" i="1" s="1"/>
  <c r="S25" i="1" s="1"/>
  <c r="U105" i="1"/>
  <c r="Q186" i="1"/>
  <c r="Q125" i="1"/>
  <c r="Q34" i="1"/>
  <c r="Q36" i="1"/>
  <c r="Q33" i="1"/>
  <c r="Q64" i="1"/>
  <c r="Q95" i="1"/>
  <c r="U45" i="1"/>
  <c r="Q156" i="1"/>
  <c r="Q67" i="1"/>
  <c r="Q35" i="1"/>
  <c r="Q185" i="1"/>
  <c r="U35" i="1"/>
  <c r="W35" i="1" s="1"/>
  <c r="U65" i="1"/>
  <c r="O38" i="1"/>
  <c r="Y65" i="1"/>
  <c r="V41" i="1"/>
  <c r="U156" i="1"/>
  <c r="U66" i="1"/>
  <c r="W66" i="1" s="1"/>
  <c r="U76" i="1"/>
  <c r="U186" i="1"/>
  <c r="V44" i="1"/>
  <c r="Y157" i="1"/>
  <c r="D70" i="1"/>
  <c r="O129" i="1"/>
  <c r="O100" i="1"/>
  <c r="O103" i="1"/>
  <c r="D69" i="1"/>
  <c r="U74" i="1"/>
  <c r="V74" i="1" s="1"/>
  <c r="U96" i="1"/>
  <c r="U125" i="1"/>
  <c r="W72" i="1"/>
  <c r="D68" i="1"/>
  <c r="Q68" i="1" s="1"/>
  <c r="F65" i="1"/>
  <c r="V46" i="1"/>
  <c r="N97" i="1"/>
  <c r="O97" i="1" s="1"/>
  <c r="W75" i="1"/>
  <c r="U34" i="1"/>
  <c r="W73" i="1"/>
  <c r="W77" i="1"/>
  <c r="O160" i="1"/>
  <c r="V33" i="1"/>
  <c r="Y73" i="1"/>
  <c r="Y74" i="1" s="1"/>
  <c r="Y126" i="1"/>
  <c r="F66" i="1"/>
  <c r="N68" i="1"/>
  <c r="O190" i="1"/>
  <c r="O187" i="1"/>
  <c r="O186" i="1"/>
  <c r="N157" i="1"/>
  <c r="O157" i="1" s="1"/>
  <c r="O156" i="1"/>
  <c r="N128" i="1"/>
  <c r="O126" i="1"/>
  <c r="O96" i="1"/>
  <c r="N69" i="1"/>
  <c r="P69" i="1" s="1"/>
  <c r="O66" i="1"/>
  <c r="N65" i="1"/>
  <c r="O65" i="1" s="1"/>
  <c r="N125" i="1"/>
  <c r="O125" i="1" s="1"/>
  <c r="O34" i="1"/>
  <c r="N64" i="1"/>
  <c r="Y66" i="1"/>
  <c r="W42" i="1"/>
  <c r="N39" i="1"/>
  <c r="O35" i="1"/>
  <c r="N113" i="1"/>
  <c r="O73" i="1"/>
  <c r="O72" i="1"/>
  <c r="N84" i="1"/>
  <c r="N79" i="1"/>
  <c r="N67" i="1"/>
  <c r="N53" i="1"/>
  <c r="N52" i="1"/>
  <c r="N49" i="1"/>
  <c r="N48" i="1"/>
  <c r="N42" i="1"/>
  <c r="N37" i="1"/>
  <c r="N132" i="1"/>
  <c r="O132" i="1" s="1"/>
  <c r="O163" i="1"/>
  <c r="F67" i="1"/>
  <c r="M67" i="1"/>
  <c r="Y77" i="1"/>
  <c r="P70" i="1"/>
  <c r="F64" i="1"/>
  <c r="Y67" i="1"/>
  <c r="Y71" i="1" s="1"/>
  <c r="P68" i="1"/>
  <c r="P80" i="1"/>
  <c r="R80" i="1" s="1"/>
  <c r="S80" i="1" s="1"/>
  <c r="P71" i="1"/>
  <c r="R71" i="1" s="1"/>
  <c r="S71" i="1" s="1"/>
  <c r="Y69" i="1"/>
  <c r="U43" i="1"/>
  <c r="M37" i="1"/>
  <c r="D37" i="1"/>
  <c r="F36" i="1"/>
  <c r="P38" i="1"/>
  <c r="Y42" i="1"/>
  <c r="Y43" i="1" s="1"/>
  <c r="D38" i="1"/>
  <c r="D39" i="1"/>
  <c r="P40" i="1"/>
  <c r="R40" i="1" s="1"/>
  <c r="S40" i="1" s="1"/>
  <c r="Y38" i="1"/>
  <c r="D42" i="1"/>
  <c r="O42" i="1" l="1"/>
  <c r="P42" i="1"/>
  <c r="R8" i="1"/>
  <c r="S8" i="1" s="1"/>
  <c r="P12" i="1"/>
  <c r="R12" i="1" s="1"/>
  <c r="S12" i="1" s="1"/>
  <c r="P10" i="1"/>
  <c r="P9" i="1"/>
  <c r="F14" i="1"/>
  <c r="W74" i="1"/>
  <c r="V66" i="1"/>
  <c r="F28" i="1"/>
  <c r="F26" i="1" s="1"/>
  <c r="W7" i="1"/>
  <c r="F68" i="1"/>
  <c r="V35" i="1"/>
  <c r="P20" i="1"/>
  <c r="R20" i="1" s="1"/>
  <c r="S20" i="1" s="1"/>
  <c r="P13" i="1"/>
  <c r="P7" i="1"/>
  <c r="R7" i="1" s="1"/>
  <c r="S7" i="1" s="1"/>
  <c r="Q13" i="1"/>
  <c r="F13" i="1"/>
  <c r="Q9" i="1"/>
  <c r="F9" i="1"/>
  <c r="U9" i="1"/>
  <c r="U8" i="1"/>
  <c r="V6" i="1"/>
  <c r="W6" i="1"/>
  <c r="P14" i="1"/>
  <c r="R14" i="1" s="1"/>
  <c r="S14" i="1" s="1"/>
  <c r="P11" i="1"/>
  <c r="U12" i="1"/>
  <c r="Q11" i="1"/>
  <c r="F11" i="1"/>
  <c r="U11" i="1"/>
  <c r="Q10" i="1"/>
  <c r="F10" i="1"/>
  <c r="V15" i="1"/>
  <c r="W15" i="1"/>
  <c r="P6" i="1"/>
  <c r="R6" i="1" s="1"/>
  <c r="S6" i="1" s="1"/>
  <c r="F39" i="1"/>
  <c r="Q39" i="1"/>
  <c r="F37" i="1"/>
  <c r="Q37" i="1"/>
  <c r="O69" i="1"/>
  <c r="U70" i="1"/>
  <c r="V70" i="1" s="1"/>
  <c r="Q69" i="1"/>
  <c r="R69" i="1" s="1"/>
  <c r="S69" i="1" s="1"/>
  <c r="U39" i="1"/>
  <c r="V39" i="1" s="1"/>
  <c r="Q38" i="1"/>
  <c r="U71" i="1"/>
  <c r="Q70" i="1"/>
  <c r="U68" i="1"/>
  <c r="U69" i="1" s="1"/>
  <c r="U67" i="1"/>
  <c r="V67" i="1" s="1"/>
  <c r="F89" i="1"/>
  <c r="F87" i="1" s="1"/>
  <c r="F58" i="1"/>
  <c r="F56" i="1" s="1"/>
  <c r="W125" i="1"/>
  <c r="V125" i="1"/>
  <c r="P65" i="1"/>
  <c r="R65" i="1" s="1"/>
  <c r="S65" i="1" s="1"/>
  <c r="P67" i="1"/>
  <c r="V45" i="1"/>
  <c r="W45" i="1"/>
  <c r="W39" i="1"/>
  <c r="W34" i="1"/>
  <c r="V34" i="1"/>
  <c r="W65" i="1"/>
  <c r="V65" i="1"/>
  <c r="V76" i="1"/>
  <c r="W76" i="1"/>
  <c r="R70" i="1"/>
  <c r="S70" i="1" s="1"/>
  <c r="R68" i="1"/>
  <c r="S68" i="1" s="1"/>
  <c r="F70" i="1"/>
  <c r="V43" i="1"/>
  <c r="W43" i="1"/>
  <c r="P39" i="1"/>
  <c r="N83" i="1"/>
  <c r="N36" i="1"/>
  <c r="O55" i="1" s="1"/>
  <c r="F55" i="1"/>
  <c r="P81" i="1"/>
  <c r="R81" i="1" s="1"/>
  <c r="S81" i="1" s="1"/>
  <c r="P79" i="1"/>
  <c r="R79" i="1" s="1"/>
  <c r="S79" i="1" s="1"/>
  <c r="P64" i="1"/>
  <c r="R64" i="1" s="1"/>
  <c r="S64" i="1" s="1"/>
  <c r="U37" i="1"/>
  <c r="R67" i="1"/>
  <c r="S67" i="1" s="1"/>
  <c r="P33" i="1"/>
  <c r="P66" i="1"/>
  <c r="R66" i="1" s="1"/>
  <c r="S66" i="1" s="1"/>
  <c r="Q72" i="1"/>
  <c r="F72" i="1"/>
  <c r="F69" i="1"/>
  <c r="Q73" i="1"/>
  <c r="F73" i="1"/>
  <c r="P72" i="1"/>
  <c r="P84" i="1"/>
  <c r="R84" i="1" s="1"/>
  <c r="S84" i="1" s="1"/>
  <c r="P73" i="1"/>
  <c r="P37" i="1"/>
  <c r="U36" i="1"/>
  <c r="P52" i="1"/>
  <c r="R52" i="1" s="1"/>
  <c r="S52" i="1" s="1"/>
  <c r="P34" i="1"/>
  <c r="R34" i="1" s="1"/>
  <c r="S34" i="1" s="1"/>
  <c r="P49" i="1"/>
  <c r="R49" i="1" s="1"/>
  <c r="S49" i="1" s="1"/>
  <c r="P48" i="1"/>
  <c r="R48" i="1" s="1"/>
  <c r="S48" i="1" s="1"/>
  <c r="F38" i="1"/>
  <c r="R38" i="1"/>
  <c r="S38" i="1" s="1"/>
  <c r="U40" i="1"/>
  <c r="P35" i="1"/>
  <c r="R35" i="1" s="1"/>
  <c r="S35" i="1" s="1"/>
  <c r="Q42" i="1"/>
  <c r="F42" i="1"/>
  <c r="D41" i="1"/>
  <c r="Y34" i="1"/>
  <c r="F33" i="1"/>
  <c r="Y36" i="1"/>
  <c r="Y40" i="1" s="1"/>
  <c r="P50" i="1"/>
  <c r="R50" i="1" s="1"/>
  <c r="S50" i="1" s="1"/>
  <c r="P53" i="1"/>
  <c r="R53" i="1" s="1"/>
  <c r="S53" i="1" s="1"/>
  <c r="Q113" i="1"/>
  <c r="Q114" i="1"/>
  <c r="Q143" i="1"/>
  <c r="Q173" i="1"/>
  <c r="Q203" i="1"/>
  <c r="Q201" i="1"/>
  <c r="D97" i="1"/>
  <c r="Q97" i="1" s="1"/>
  <c r="D98" i="1"/>
  <c r="Q98" i="1" s="1"/>
  <c r="D99" i="1"/>
  <c r="Q99" i="1" s="1"/>
  <c r="M203" i="1"/>
  <c r="F203" i="1"/>
  <c r="F202" i="1"/>
  <c r="F201" i="1"/>
  <c r="F200" i="1"/>
  <c r="F199" i="1"/>
  <c r="F198" i="1"/>
  <c r="H194" i="1"/>
  <c r="H193" i="1"/>
  <c r="D189" i="1"/>
  <c r="Q189" i="1" s="1"/>
  <c r="D188" i="1"/>
  <c r="D187" i="1"/>
  <c r="Q187" i="1" s="1"/>
  <c r="M173" i="1"/>
  <c r="F173" i="1"/>
  <c r="F172" i="1"/>
  <c r="M170" i="1"/>
  <c r="F170" i="1"/>
  <c r="M169" i="1"/>
  <c r="F169" i="1"/>
  <c r="F168" i="1"/>
  <c r="O164" i="1"/>
  <c r="D159" i="1"/>
  <c r="Q159" i="1" s="1"/>
  <c r="D158" i="1"/>
  <c r="Q158" i="1" s="1"/>
  <c r="D157" i="1"/>
  <c r="Q157" i="1" s="1"/>
  <c r="M143" i="1"/>
  <c r="F143" i="1"/>
  <c r="F142" i="1"/>
  <c r="M140" i="1"/>
  <c r="F140" i="1"/>
  <c r="M139" i="1"/>
  <c r="F139" i="1"/>
  <c r="F138" i="1"/>
  <c r="M128" i="1"/>
  <c r="D128" i="1"/>
  <c r="Q128" i="1" s="1"/>
  <c r="D127" i="1"/>
  <c r="Q127" i="1" s="1"/>
  <c r="D126" i="1"/>
  <c r="Q126" i="1" s="1"/>
  <c r="F113" i="1"/>
  <c r="M193" i="1" l="1"/>
  <c r="L193" i="1"/>
  <c r="M194" i="1"/>
  <c r="L194" i="1"/>
  <c r="O27" i="1"/>
  <c r="R9" i="1"/>
  <c r="S9" i="1" s="1"/>
  <c r="R10" i="1"/>
  <c r="S10" i="1" s="1"/>
  <c r="P36" i="1"/>
  <c r="R36" i="1" s="1"/>
  <c r="S36" i="1" s="1"/>
  <c r="W70" i="1"/>
  <c r="R13" i="1"/>
  <c r="S13" i="1" s="1"/>
  <c r="V12" i="1"/>
  <c r="W12" i="1"/>
  <c r="V8" i="1"/>
  <c r="W8" i="1"/>
  <c r="W11" i="1"/>
  <c r="V11" i="1"/>
  <c r="R11" i="1"/>
  <c r="S11" i="1" s="1"/>
  <c r="U10" i="1"/>
  <c r="V9" i="1"/>
  <c r="W9" i="1"/>
  <c r="W67" i="1"/>
  <c r="F126" i="1"/>
  <c r="U136" i="1"/>
  <c r="U157" i="1"/>
  <c r="F157" i="1"/>
  <c r="U167" i="1"/>
  <c r="U188" i="1"/>
  <c r="U189" i="1"/>
  <c r="U190" i="1" s="1"/>
  <c r="U107" i="1"/>
  <c r="P83" i="1"/>
  <c r="R83" i="1" s="1"/>
  <c r="S83" i="1" s="1"/>
  <c r="O86" i="1"/>
  <c r="V68" i="1"/>
  <c r="U126" i="1"/>
  <c r="U158" i="1"/>
  <c r="U159" i="1"/>
  <c r="U160" i="1" s="1"/>
  <c r="F187" i="1"/>
  <c r="U197" i="1"/>
  <c r="U99" i="1"/>
  <c r="U100" i="1" s="1"/>
  <c r="U98" i="1"/>
  <c r="F128" i="1"/>
  <c r="U127" i="1"/>
  <c r="U128" i="1"/>
  <c r="U129" i="1" s="1"/>
  <c r="U187" i="1"/>
  <c r="U97" i="1"/>
  <c r="D104" i="1"/>
  <c r="Q104" i="1" s="1"/>
  <c r="W68" i="1"/>
  <c r="V104" i="1"/>
  <c r="W104" i="1"/>
  <c r="V64" i="1"/>
  <c r="W64" i="1"/>
  <c r="W106" i="1"/>
  <c r="V106" i="1"/>
  <c r="V132" i="1"/>
  <c r="W132" i="1"/>
  <c r="V165" i="1"/>
  <c r="W165" i="1"/>
  <c r="W195" i="1"/>
  <c r="V195" i="1"/>
  <c r="W137" i="1"/>
  <c r="V137" i="1"/>
  <c r="V159" i="1"/>
  <c r="W168" i="1"/>
  <c r="V168" i="1"/>
  <c r="W135" i="1"/>
  <c r="V135" i="1"/>
  <c r="W166" i="1"/>
  <c r="V166" i="1"/>
  <c r="N194" i="1"/>
  <c r="V196" i="1"/>
  <c r="W196" i="1"/>
  <c r="W103" i="1"/>
  <c r="V103" i="1"/>
  <c r="W193" i="1"/>
  <c r="V193" i="1"/>
  <c r="W198" i="1"/>
  <c r="V198" i="1"/>
  <c r="W163" i="1"/>
  <c r="V163" i="1"/>
  <c r="N193" i="1"/>
  <c r="V40" i="1"/>
  <c r="W40" i="1"/>
  <c r="V36" i="1"/>
  <c r="W36" i="1"/>
  <c r="W108" i="1"/>
  <c r="V108" i="1"/>
  <c r="V134" i="1"/>
  <c r="W134" i="1"/>
  <c r="W133" i="1"/>
  <c r="V133" i="1"/>
  <c r="U38" i="1"/>
  <c r="W37" i="1"/>
  <c r="V37" i="1"/>
  <c r="W69" i="1"/>
  <c r="V69" i="1"/>
  <c r="W71" i="1"/>
  <c r="V71" i="1"/>
  <c r="R39" i="1"/>
  <c r="R73" i="1"/>
  <c r="S73" i="1" s="1"/>
  <c r="V155" i="1"/>
  <c r="W155" i="1"/>
  <c r="V185" i="1"/>
  <c r="W185" i="1"/>
  <c r="M185" i="1"/>
  <c r="N124" i="1"/>
  <c r="R37" i="1"/>
  <c r="S37" i="1" s="1"/>
  <c r="Y137" i="1"/>
  <c r="D103" i="1"/>
  <c r="F103" i="1" s="1"/>
  <c r="Y168" i="1"/>
  <c r="Y198" i="1"/>
  <c r="R33" i="1"/>
  <c r="S33" i="1" s="1"/>
  <c r="R72" i="1"/>
  <c r="S72" i="1" s="1"/>
  <c r="R42" i="1"/>
  <c r="S42" i="1" s="1"/>
  <c r="Q41" i="1"/>
  <c r="F41" i="1"/>
  <c r="F97" i="1"/>
  <c r="N202" i="1"/>
  <c r="F96" i="1"/>
  <c r="D194" i="1"/>
  <c r="Q194" i="1" s="1"/>
  <c r="D100" i="1"/>
  <c r="Q100" i="1" s="1"/>
  <c r="N198" i="1"/>
  <c r="D133" i="1"/>
  <c r="Q133" i="1" s="1"/>
  <c r="D164" i="1"/>
  <c r="Q164" i="1" s="1"/>
  <c r="P190" i="1"/>
  <c r="P191" i="1"/>
  <c r="P192" i="1"/>
  <c r="R192" i="1" s="1"/>
  <c r="S192" i="1" s="1"/>
  <c r="P131" i="1"/>
  <c r="R131" i="1" s="1"/>
  <c r="S131" i="1" s="1"/>
  <c r="D101" i="1"/>
  <c r="Q101" i="1" s="1"/>
  <c r="Q188" i="1"/>
  <c r="P161" i="1"/>
  <c r="P162" i="1"/>
  <c r="R162" i="1" s="1"/>
  <c r="S162" i="1" s="1"/>
  <c r="P129" i="1"/>
  <c r="P160" i="1"/>
  <c r="P130" i="1"/>
  <c r="N201" i="1"/>
  <c r="Y127" i="1"/>
  <c r="Y131" i="1" s="1"/>
  <c r="F155" i="1"/>
  <c r="F156" i="1"/>
  <c r="N200" i="1"/>
  <c r="F158" i="1"/>
  <c r="N172" i="1"/>
  <c r="F186" i="1"/>
  <c r="M200" i="1"/>
  <c r="M201" i="1"/>
  <c r="M138" i="1"/>
  <c r="F188" i="1"/>
  <c r="D190" i="1"/>
  <c r="N199" i="1"/>
  <c r="M199" i="1"/>
  <c r="Y188" i="1"/>
  <c r="F189" i="1"/>
  <c r="L189" i="1"/>
  <c r="Y190" i="1"/>
  <c r="M198" i="1"/>
  <c r="M202" i="1"/>
  <c r="N203" i="1"/>
  <c r="D191" i="1"/>
  <c r="Q191" i="1" s="1"/>
  <c r="Y194" i="1"/>
  <c r="Y195" i="1" s="1"/>
  <c r="F159" i="1"/>
  <c r="L159" i="1"/>
  <c r="Y160" i="1"/>
  <c r="M168" i="1"/>
  <c r="N169" i="1"/>
  <c r="N170" i="1"/>
  <c r="M172" i="1"/>
  <c r="N173" i="1"/>
  <c r="D160" i="1"/>
  <c r="Q160" i="1" s="1"/>
  <c r="D161" i="1"/>
  <c r="Q161" i="1" s="1"/>
  <c r="Y164" i="1"/>
  <c r="Y165" i="1" s="1"/>
  <c r="Y125" i="1"/>
  <c r="M127" i="1"/>
  <c r="Y129" i="1"/>
  <c r="M142" i="1"/>
  <c r="F125" i="1"/>
  <c r="F127" i="1"/>
  <c r="D129" i="1"/>
  <c r="Q129" i="1" s="1"/>
  <c r="D130" i="1"/>
  <c r="Q130" i="1" s="1"/>
  <c r="Y133" i="1"/>
  <c r="Y134" i="1" s="1"/>
  <c r="W189" i="1" l="1"/>
  <c r="O193" i="1"/>
  <c r="W10" i="1"/>
  <c r="V10" i="1"/>
  <c r="F208" i="1"/>
  <c r="F206" i="1" s="1"/>
  <c r="Q190" i="1"/>
  <c r="R190" i="1" s="1"/>
  <c r="S190" i="1" s="1"/>
  <c r="O194" i="1"/>
  <c r="R130" i="1"/>
  <c r="S130" i="1" s="1"/>
  <c r="U131" i="1"/>
  <c r="U101" i="1"/>
  <c r="R160" i="1"/>
  <c r="S160" i="1" s="1"/>
  <c r="U161" i="1"/>
  <c r="U130" i="1"/>
  <c r="R161" i="1"/>
  <c r="S161" i="1" s="1"/>
  <c r="U162" i="1"/>
  <c r="U192" i="1"/>
  <c r="F190" i="1"/>
  <c r="U191" i="1"/>
  <c r="U102" i="1"/>
  <c r="F117" i="1"/>
  <c r="F115" i="1" s="1"/>
  <c r="F148" i="1"/>
  <c r="F146" i="1" s="1"/>
  <c r="F178" i="1"/>
  <c r="F176" i="1" s="1"/>
  <c r="V189" i="1"/>
  <c r="W159" i="1"/>
  <c r="W127" i="1"/>
  <c r="V127" i="1"/>
  <c r="W128" i="1"/>
  <c r="V128" i="1"/>
  <c r="V38" i="1"/>
  <c r="W38" i="1"/>
  <c r="V126" i="1"/>
  <c r="W126" i="1"/>
  <c r="W187" i="1"/>
  <c r="V187" i="1"/>
  <c r="W190" i="1"/>
  <c r="V190" i="1"/>
  <c r="W167" i="1"/>
  <c r="V167" i="1"/>
  <c r="W158" i="1"/>
  <c r="V158" i="1"/>
  <c r="W197" i="1"/>
  <c r="V197" i="1"/>
  <c r="V105" i="1"/>
  <c r="W105" i="1"/>
  <c r="V188" i="1"/>
  <c r="W188" i="1"/>
  <c r="V157" i="1"/>
  <c r="W157" i="1"/>
  <c r="W136" i="1"/>
  <c r="V136" i="1"/>
  <c r="W160" i="1"/>
  <c r="V160" i="1"/>
  <c r="N189" i="1"/>
  <c r="N188" i="1"/>
  <c r="N159" i="1"/>
  <c r="N185" i="1"/>
  <c r="N139" i="1"/>
  <c r="N143" i="1"/>
  <c r="N140" i="1"/>
  <c r="N133" i="1"/>
  <c r="O133" i="1" s="1"/>
  <c r="N142" i="1"/>
  <c r="N138" i="1"/>
  <c r="Q103" i="1"/>
  <c r="P198" i="1"/>
  <c r="R198" i="1" s="1"/>
  <c r="S198" i="1" s="1"/>
  <c r="F185" i="1"/>
  <c r="D193" i="1"/>
  <c r="Y186" i="1"/>
  <c r="Y156" i="1"/>
  <c r="R41" i="1"/>
  <c r="S41" i="1" s="1"/>
  <c r="F164" i="1"/>
  <c r="F124" i="1"/>
  <c r="F194" i="1"/>
  <c r="Y192" i="1"/>
  <c r="P97" i="1"/>
  <c r="R97" i="1" s="1"/>
  <c r="S97" i="1" s="1"/>
  <c r="F133" i="1"/>
  <c r="P96" i="1"/>
  <c r="R96" i="1" s="1"/>
  <c r="S96" i="1" s="1"/>
  <c r="Y158" i="1"/>
  <c r="Y162" i="1" s="1"/>
  <c r="D163" i="1"/>
  <c r="D132" i="1"/>
  <c r="R191" i="1"/>
  <c r="S191" i="1" s="1"/>
  <c r="P127" i="1"/>
  <c r="R127" i="1" s="1"/>
  <c r="S127" i="1" s="1"/>
  <c r="P124" i="1"/>
  <c r="P172" i="1"/>
  <c r="R172" i="1" s="1"/>
  <c r="S172" i="1" s="1"/>
  <c r="P128" i="1"/>
  <c r="R128" i="1" s="1"/>
  <c r="S128" i="1" s="1"/>
  <c r="P126" i="1"/>
  <c r="R126" i="1" s="1"/>
  <c r="S126" i="1" s="1"/>
  <c r="R129" i="1"/>
  <c r="S129" i="1" s="1"/>
  <c r="P125" i="1"/>
  <c r="R125" i="1" s="1"/>
  <c r="S125" i="1" s="1"/>
  <c r="P186" i="1"/>
  <c r="R186" i="1" s="1"/>
  <c r="S186" i="1" s="1"/>
  <c r="P158" i="1"/>
  <c r="R158" i="1" s="1"/>
  <c r="S158" i="1" s="1"/>
  <c r="P156" i="1"/>
  <c r="R156" i="1" s="1"/>
  <c r="S156" i="1" s="1"/>
  <c r="F191" i="1"/>
  <c r="F161" i="1"/>
  <c r="F160" i="1"/>
  <c r="F129" i="1"/>
  <c r="F130" i="1"/>
  <c r="P140" i="1" l="1"/>
  <c r="R140" i="1" s="1"/>
  <c r="S140" i="1" s="1"/>
  <c r="O145" i="1"/>
  <c r="V194" i="1"/>
  <c r="W194" i="1"/>
  <c r="V164" i="1"/>
  <c r="W164" i="1"/>
  <c r="V124" i="1"/>
  <c r="W124" i="1"/>
  <c r="W95" i="1"/>
  <c r="V95" i="1"/>
  <c r="W162" i="1"/>
  <c r="V162" i="1"/>
  <c r="W129" i="1"/>
  <c r="V129" i="1"/>
  <c r="W131" i="1"/>
  <c r="V131" i="1"/>
  <c r="V161" i="1"/>
  <c r="W161" i="1"/>
  <c r="V186" i="1"/>
  <c r="W186" i="1"/>
  <c r="W191" i="1"/>
  <c r="V191" i="1"/>
  <c r="V130" i="1"/>
  <c r="W130" i="1"/>
  <c r="V192" i="1"/>
  <c r="W192" i="1"/>
  <c r="W156" i="1"/>
  <c r="V156" i="1"/>
  <c r="P142" i="1"/>
  <c r="R142" i="1" s="1"/>
  <c r="S142" i="1" s="1"/>
  <c r="P138" i="1"/>
  <c r="R138" i="1" s="1"/>
  <c r="S138" i="1" s="1"/>
  <c r="P133" i="1"/>
  <c r="R133" i="1" s="1"/>
  <c r="S133" i="1" s="1"/>
  <c r="P201" i="1"/>
  <c r="R201" i="1" s="1"/>
  <c r="S201" i="1" s="1"/>
  <c r="P202" i="1"/>
  <c r="R202" i="1" s="1"/>
  <c r="S202" i="1" s="1"/>
  <c r="O205" i="1"/>
  <c r="Q193" i="1"/>
  <c r="F193" i="1"/>
  <c r="P185" i="1"/>
  <c r="R185" i="1" s="1"/>
  <c r="S185" i="1" s="1"/>
  <c r="R124" i="1"/>
  <c r="S124" i="1" s="1"/>
  <c r="Q163" i="1"/>
  <c r="F163" i="1"/>
  <c r="P189" i="1"/>
  <c r="R189" i="1" s="1"/>
  <c r="S189" i="1" s="1"/>
  <c r="P203" i="1"/>
  <c r="R203" i="1" s="1"/>
  <c r="S203" i="1" s="1"/>
  <c r="P163" i="1"/>
  <c r="P170" i="1"/>
  <c r="R170" i="1" s="1"/>
  <c r="S170" i="1" s="1"/>
  <c r="P173" i="1"/>
  <c r="R173" i="1" s="1"/>
  <c r="S173" i="1" s="1"/>
  <c r="P200" i="1"/>
  <c r="R200" i="1" s="1"/>
  <c r="S200" i="1" s="1"/>
  <c r="P168" i="1"/>
  <c r="R168" i="1" s="1"/>
  <c r="S168" i="1" s="1"/>
  <c r="P188" i="1"/>
  <c r="R188" i="1" s="1"/>
  <c r="S188" i="1" s="1"/>
  <c r="P187" i="1"/>
  <c r="R187" i="1" s="1"/>
  <c r="S187" i="1" s="1"/>
  <c r="P157" i="1"/>
  <c r="R157" i="1" s="1"/>
  <c r="S157" i="1" s="1"/>
  <c r="P169" i="1"/>
  <c r="R169" i="1" s="1"/>
  <c r="S169" i="1" s="1"/>
  <c r="P143" i="1"/>
  <c r="R143" i="1" s="1"/>
  <c r="S143" i="1" s="1"/>
  <c r="P139" i="1"/>
  <c r="R139" i="1" s="1"/>
  <c r="S139" i="1" s="1"/>
  <c r="Q132" i="1"/>
  <c r="F132" i="1"/>
  <c r="P194" i="1"/>
  <c r="R194" i="1" s="1"/>
  <c r="S194" i="1" s="1"/>
  <c r="P159" i="1"/>
  <c r="R159" i="1" s="1"/>
  <c r="S159" i="1" s="1"/>
  <c r="P132" i="1"/>
  <c r="P199" i="1"/>
  <c r="R199" i="1" s="1"/>
  <c r="S199" i="1" s="1"/>
  <c r="P193" i="1"/>
  <c r="P164" i="1"/>
  <c r="R164" i="1" s="1"/>
  <c r="S164" i="1" s="1"/>
  <c r="P155" i="1"/>
  <c r="R155" i="1" s="1"/>
  <c r="S155" i="1" s="1"/>
  <c r="R193" i="1" l="1"/>
  <c r="S193" i="1" s="1"/>
  <c r="R132" i="1"/>
  <c r="S132" i="1" s="1"/>
  <c r="O175" i="1"/>
  <c r="R163" i="1"/>
  <c r="S163" i="1" s="1"/>
  <c r="F47" i="3" l="1"/>
  <c r="R51" i="3"/>
  <c r="Q56" i="3"/>
  <c r="Q55" i="3"/>
  <c r="Q54" i="3"/>
  <c r="Q53" i="3"/>
  <c r="Q52" i="3"/>
  <c r="Q51" i="3"/>
  <c r="R55" i="3"/>
  <c r="R54" i="3"/>
  <c r="R53" i="3"/>
  <c r="R52" i="3"/>
  <c r="R56" i="3"/>
  <c r="D14" i="3"/>
  <c r="B13" i="3"/>
  <c r="D12" i="3"/>
  <c r="D11" i="3"/>
  <c r="P10" i="3"/>
  <c r="B10" i="3"/>
  <c r="P9" i="3"/>
  <c r="D9" i="3"/>
  <c r="P8" i="3"/>
  <c r="H8" i="3"/>
  <c r="G8" i="3"/>
  <c r="I8" i="3" s="1"/>
  <c r="D8" i="3"/>
  <c r="P7" i="3"/>
  <c r="B7" i="3"/>
  <c r="P6" i="3"/>
  <c r="D6" i="3"/>
  <c r="P5" i="3"/>
  <c r="D5" i="3"/>
  <c r="D28" i="3"/>
  <c r="F32" i="3"/>
  <c r="D30" i="3"/>
  <c r="B29" i="3"/>
  <c r="D27" i="3"/>
  <c r="P26" i="3"/>
  <c r="B26" i="3"/>
  <c r="P25" i="3"/>
  <c r="D25" i="3"/>
  <c r="P24" i="3"/>
  <c r="H24" i="3"/>
  <c r="G24" i="3"/>
  <c r="I24" i="3" s="1"/>
  <c r="D24" i="3"/>
  <c r="P23" i="3"/>
  <c r="B23" i="3"/>
  <c r="P22" i="3"/>
  <c r="D22" i="3"/>
  <c r="P21" i="3"/>
  <c r="D21" i="3"/>
  <c r="F62" i="3"/>
  <c r="P56" i="3"/>
  <c r="P55" i="3"/>
  <c r="P54" i="3"/>
  <c r="P53" i="3"/>
  <c r="P52" i="3"/>
  <c r="P51" i="3"/>
  <c r="P41" i="3"/>
  <c r="P40" i="3"/>
  <c r="P39" i="3"/>
  <c r="P38" i="3"/>
  <c r="P37" i="3"/>
  <c r="P36" i="3"/>
  <c r="D60" i="3"/>
  <c r="B59" i="3"/>
  <c r="D58" i="3"/>
  <c r="D57" i="3"/>
  <c r="B56" i="3"/>
  <c r="D55" i="3"/>
  <c r="H54" i="3"/>
  <c r="G54" i="3"/>
  <c r="D54" i="3"/>
  <c r="B53" i="3"/>
  <c r="D52" i="3"/>
  <c r="D51" i="3"/>
  <c r="B44" i="3"/>
  <c r="B41" i="3"/>
  <c r="B38" i="3"/>
  <c r="D45" i="3"/>
  <c r="D43" i="3"/>
  <c r="D42" i="3"/>
  <c r="D40" i="3"/>
  <c r="D39" i="3"/>
  <c r="D37" i="3"/>
  <c r="D36" i="3"/>
  <c r="H39" i="3"/>
  <c r="I54" i="3" l="1"/>
  <c r="J54" i="3"/>
  <c r="K12" i="3"/>
  <c r="K28" i="3"/>
  <c r="L28" i="3" s="1"/>
  <c r="M28" i="3" s="1"/>
  <c r="N28" i="3" s="1"/>
  <c r="K38" i="3"/>
  <c r="L38" i="3" s="1"/>
  <c r="M38" i="3" s="1"/>
  <c r="N38" i="3" s="1"/>
  <c r="K41" i="3"/>
  <c r="L41" i="3" s="1"/>
  <c r="M41" i="3" s="1"/>
  <c r="N41" i="3" s="1"/>
  <c r="K14" i="3"/>
  <c r="K40" i="3"/>
  <c r="L40" i="3" s="1"/>
  <c r="M40" i="3" s="1"/>
  <c r="N40" i="3" s="1"/>
  <c r="K43" i="3"/>
  <c r="K42" i="3"/>
  <c r="L42" i="3" s="1"/>
  <c r="M42" i="3" s="1"/>
  <c r="N42" i="3" s="1"/>
  <c r="K44" i="3"/>
  <c r="L44" i="3" s="1"/>
  <c r="M44" i="3" s="1"/>
  <c r="N44" i="3" s="1"/>
  <c r="J30" i="3"/>
  <c r="Y104" i="1"/>
  <c r="Y105" i="1" s="1"/>
  <c r="Y100" i="1"/>
  <c r="Y108" i="1"/>
  <c r="J14" i="3"/>
  <c r="J5" i="3"/>
  <c r="J6" i="3"/>
  <c r="J8" i="3"/>
  <c r="J9" i="3"/>
  <c r="J10" i="3"/>
  <c r="J13" i="3"/>
  <c r="J21" i="3"/>
  <c r="J22" i="3"/>
  <c r="J24" i="3"/>
  <c r="J25" i="3"/>
  <c r="J26" i="3"/>
  <c r="J29" i="3"/>
  <c r="J43" i="3"/>
  <c r="J58" i="3"/>
  <c r="J60" i="3"/>
  <c r="J51" i="3"/>
  <c r="J52" i="3"/>
  <c r="J53" i="3"/>
  <c r="J55" i="3"/>
  <c r="J56" i="3"/>
  <c r="J44" i="3"/>
  <c r="J45" i="3"/>
  <c r="J40" i="3"/>
  <c r="J36" i="3"/>
  <c r="G39" i="3"/>
  <c r="I39" i="3" s="1"/>
  <c r="K53" i="3" l="1"/>
  <c r="L53" i="3" s="1"/>
  <c r="M53" i="3" s="1"/>
  <c r="K45" i="3"/>
  <c r="L45" i="3" s="1"/>
  <c r="M45" i="3" s="1"/>
  <c r="N45" i="3" s="1"/>
  <c r="W97" i="1"/>
  <c r="V97" i="1"/>
  <c r="W99" i="1"/>
  <c r="V99" i="1"/>
  <c r="W98" i="1"/>
  <c r="V98" i="1"/>
  <c r="W102" i="1"/>
  <c r="V102" i="1"/>
  <c r="W107" i="1"/>
  <c r="V107" i="1"/>
  <c r="K55" i="3"/>
  <c r="L55" i="3" s="1"/>
  <c r="M55" i="3" s="1"/>
  <c r="J41" i="3"/>
  <c r="K30" i="3"/>
  <c r="L30" i="3" s="1"/>
  <c r="M30" i="3" s="1"/>
  <c r="N30" i="3" s="1"/>
  <c r="J28" i="3"/>
  <c r="J31" i="3" s="1"/>
  <c r="K8" i="3"/>
  <c r="L8" i="3" s="1"/>
  <c r="K10" i="3"/>
  <c r="L10" i="3" s="1"/>
  <c r="M10" i="3" s="1"/>
  <c r="N10" i="3" s="1"/>
  <c r="L14" i="3"/>
  <c r="M14" i="3" s="1"/>
  <c r="N14" i="3" s="1"/>
  <c r="L43" i="3"/>
  <c r="M43" i="3" s="1"/>
  <c r="N43" i="3" s="1"/>
  <c r="L12" i="3"/>
  <c r="M12" i="3" s="1"/>
  <c r="N12" i="3" s="1"/>
  <c r="K25" i="3"/>
  <c r="L25" i="3" s="1"/>
  <c r="M25" i="3" s="1"/>
  <c r="N25" i="3" s="1"/>
  <c r="K21" i="3"/>
  <c r="K7" i="3"/>
  <c r="K37" i="3"/>
  <c r="L37" i="3" s="1"/>
  <c r="M37" i="3" s="1"/>
  <c r="N37" i="3" s="1"/>
  <c r="J12" i="3"/>
  <c r="J15" i="3" s="1"/>
  <c r="K13" i="3"/>
  <c r="K24" i="3"/>
  <c r="L24" i="3" s="1"/>
  <c r="M24" i="3" s="1"/>
  <c r="N24" i="3" s="1"/>
  <c r="K11" i="3"/>
  <c r="K6" i="3"/>
  <c r="L6" i="3" s="1"/>
  <c r="M6" i="3" s="1"/>
  <c r="N6" i="3" s="1"/>
  <c r="K51" i="3"/>
  <c r="L51" i="3" s="1"/>
  <c r="M51" i="3" s="1"/>
  <c r="K39" i="3"/>
  <c r="J59" i="3"/>
  <c r="K27" i="3"/>
  <c r="L27" i="3" s="1"/>
  <c r="M27" i="3" s="1"/>
  <c r="N27" i="3" s="1"/>
  <c r="K23" i="3"/>
  <c r="K56" i="3"/>
  <c r="L56" i="3" s="1"/>
  <c r="M56" i="3" s="1"/>
  <c r="K5" i="3"/>
  <c r="K54" i="3"/>
  <c r="L54" i="3" s="1"/>
  <c r="M54" i="3" s="1"/>
  <c r="N54" i="3" s="1"/>
  <c r="K36" i="3"/>
  <c r="L36" i="3" s="1"/>
  <c r="M36" i="3" s="1"/>
  <c r="N36" i="3" s="1"/>
  <c r="J38" i="3"/>
  <c r="K26" i="3"/>
  <c r="L26" i="3" s="1"/>
  <c r="M26" i="3" s="1"/>
  <c r="N26" i="3" s="1"/>
  <c r="K22" i="3"/>
  <c r="K52" i="3"/>
  <c r="L52" i="3" s="1"/>
  <c r="M52" i="3" s="1"/>
  <c r="K9" i="3"/>
  <c r="K29" i="3"/>
  <c r="L29" i="3" s="1"/>
  <c r="M29" i="3" s="1"/>
  <c r="N29" i="3" s="1"/>
  <c r="J37" i="3"/>
  <c r="F101" i="1"/>
  <c r="M8" i="3" l="1"/>
  <c r="N8" i="3" s="1"/>
  <c r="V100" i="1"/>
  <c r="W100" i="1"/>
  <c r="J61" i="3"/>
  <c r="L39" i="3"/>
  <c r="M39" i="3" s="1"/>
  <c r="N39" i="3" s="1"/>
  <c r="L11" i="3"/>
  <c r="M11" i="3" s="1"/>
  <c r="N11" i="3" s="1"/>
  <c r="L21" i="3"/>
  <c r="M21" i="3" s="1"/>
  <c r="N21" i="3" s="1"/>
  <c r="L22" i="3"/>
  <c r="M22" i="3" s="1"/>
  <c r="N22" i="3" s="1"/>
  <c r="L9" i="3"/>
  <c r="M9" i="3" s="1"/>
  <c r="N9" i="3" s="1"/>
  <c r="L13" i="3"/>
  <c r="M13" i="3" s="1"/>
  <c r="N13" i="3" s="1"/>
  <c r="J46" i="3"/>
  <c r="L5" i="3"/>
  <c r="M5" i="3" s="1"/>
  <c r="N5" i="3" s="1"/>
  <c r="L23" i="3"/>
  <c r="M23" i="3" s="1"/>
  <c r="N23" i="3" s="1"/>
  <c r="L7" i="3"/>
  <c r="M7" i="3" s="1"/>
  <c r="N7" i="3" s="1"/>
  <c r="Y98" i="1"/>
  <c r="Y96" i="1"/>
  <c r="F100" i="1"/>
  <c r="W101" i="1" l="1"/>
  <c r="V101" i="1"/>
  <c r="V96" i="1"/>
  <c r="W96" i="1"/>
  <c r="P101" i="1"/>
  <c r="R101" i="1" s="1"/>
  <c r="S101" i="1" s="1"/>
  <c r="Y102" i="1"/>
  <c r="L99" i="1"/>
  <c r="N99" i="1" s="1"/>
  <c r="F99" i="1"/>
  <c r="F114" i="1"/>
  <c r="F111" i="1"/>
  <c r="F110" i="1"/>
  <c r="F109" i="1"/>
  <c r="M98" i="1"/>
  <c r="F98" i="1"/>
  <c r="F95" i="1"/>
  <c r="N104" i="1" l="1"/>
  <c r="M110" i="1"/>
  <c r="M109" i="1"/>
  <c r="P102" i="1"/>
  <c r="R102" i="1" s="1"/>
  <c r="S102" i="1" s="1"/>
  <c r="P100" i="1"/>
  <c r="R100" i="1" s="1"/>
  <c r="S100" i="1" s="1"/>
  <c r="F104" i="1"/>
  <c r="O104" i="1"/>
  <c r="M114" i="1"/>
  <c r="M99" i="1"/>
  <c r="M111" i="1"/>
  <c r="M113" i="1"/>
  <c r="N98" i="1" l="1"/>
  <c r="P99" i="1"/>
  <c r="R99" i="1" s="1"/>
  <c r="S99" i="1" s="1"/>
  <c r="P104" i="1"/>
  <c r="R104" i="1" s="1"/>
  <c r="S104" i="1" s="1"/>
  <c r="P113" i="1"/>
  <c r="R113" i="1" s="1"/>
  <c r="S113" i="1" s="1"/>
  <c r="P111" i="1"/>
  <c r="R111" i="1" s="1"/>
  <c r="S111" i="1" s="1"/>
  <c r="P95" i="1" l="1"/>
  <c r="R95" i="1" s="1"/>
  <c r="S95" i="1" s="1"/>
  <c r="P103" i="1"/>
  <c r="R103" i="1" s="1"/>
  <c r="S103" i="1" s="1"/>
  <c r="P114" i="1"/>
  <c r="R114" i="1" s="1"/>
  <c r="S114" i="1" s="1"/>
  <c r="P109" i="1"/>
  <c r="R109" i="1" s="1"/>
  <c r="S109" i="1" s="1"/>
  <c r="P98" i="1"/>
  <c r="R98" i="1" s="1"/>
  <c r="S98" i="1" s="1"/>
  <c r="P110" i="1"/>
  <c r="R110" i="1" s="1"/>
  <c r="S110" i="1" s="1"/>
  <c r="O116" i="1"/>
  <c r="S39" i="1" l="1"/>
</calcChain>
</file>

<file path=xl/sharedStrings.xml><?xml version="1.0" encoding="utf-8"?>
<sst xmlns="http://schemas.openxmlformats.org/spreadsheetml/2006/main" count="998" uniqueCount="161">
  <si>
    <t>Capacity TPD</t>
  </si>
  <si>
    <t>VE-01</t>
  </si>
  <si>
    <t>Vessel Volume Cu M</t>
  </si>
  <si>
    <t>Reactor No.</t>
  </si>
  <si>
    <t>Length mm</t>
  </si>
  <si>
    <t>Diameter mm</t>
  </si>
  <si>
    <t>Diameter rounded mm</t>
  </si>
  <si>
    <t>VE-04</t>
  </si>
  <si>
    <t>VE-08</t>
  </si>
  <si>
    <t>VE-12</t>
  </si>
  <si>
    <t>Plate Thickness mm</t>
  </si>
  <si>
    <t>Vessel Price</t>
  </si>
  <si>
    <t>Top/Bot or Dishes Weight</t>
  </si>
  <si>
    <t>Total</t>
  </si>
  <si>
    <t>Batch Plants</t>
  </si>
  <si>
    <t>GT-23</t>
  </si>
  <si>
    <t>Boiler</t>
  </si>
  <si>
    <t>Cooling Tower</t>
  </si>
  <si>
    <t>Kg/Hr</t>
  </si>
  <si>
    <t>LPM</t>
  </si>
  <si>
    <t>Fabrication Cost Rs./Kg for MS</t>
  </si>
  <si>
    <t>Pump Number</t>
  </si>
  <si>
    <t>P-13</t>
  </si>
  <si>
    <t>VE-02</t>
  </si>
  <si>
    <t>VE-06</t>
  </si>
  <si>
    <t>VE-10</t>
  </si>
  <si>
    <t>VE-14</t>
  </si>
  <si>
    <t>VE-15</t>
  </si>
  <si>
    <t>VE-18</t>
  </si>
  <si>
    <t>P-03</t>
  </si>
  <si>
    <t>P-07</t>
  </si>
  <si>
    <t>P-09</t>
  </si>
  <si>
    <t>P-17</t>
  </si>
  <si>
    <t>P-19</t>
  </si>
  <si>
    <t>Vessel Volume Liters</t>
  </si>
  <si>
    <t>Capacity</t>
  </si>
  <si>
    <t>Lit/day</t>
  </si>
  <si>
    <t>Lit/day to</t>
  </si>
  <si>
    <t>Pump Capacity Lit/hr</t>
  </si>
  <si>
    <t>KCAL/Hr</t>
  </si>
  <si>
    <t>Hot Oil Unit</t>
  </si>
  <si>
    <t>Plant Capacity</t>
  </si>
  <si>
    <t>Pump</t>
  </si>
  <si>
    <t>Suction Dia</t>
  </si>
  <si>
    <t>Discharge Dia</t>
  </si>
  <si>
    <t>Pumps</t>
  </si>
  <si>
    <t>Weight of Vessel Kg</t>
  </si>
  <si>
    <t>Total Load of Vessel Kg</t>
  </si>
  <si>
    <t>Wt of Contents Kgs</t>
  </si>
  <si>
    <t>Total Dynamic Load Kg</t>
  </si>
  <si>
    <t>P-01 CW</t>
  </si>
  <si>
    <t>P-05 ST-Bio</t>
  </si>
  <si>
    <t>OF-03</t>
  </si>
  <si>
    <t>PT-01</t>
  </si>
  <si>
    <t>ST-06/07/08</t>
  </si>
  <si>
    <t>BR-17</t>
  </si>
  <si>
    <t>BR-04</t>
  </si>
  <si>
    <t>MR-11/GR-14</t>
  </si>
  <si>
    <t>AC-03</t>
  </si>
  <si>
    <t>WC-10</t>
  </si>
  <si>
    <t>FT-20</t>
  </si>
  <si>
    <t>WT-21</t>
  </si>
  <si>
    <t>MT-22</t>
  </si>
  <si>
    <t>OT-24</t>
  </si>
  <si>
    <t>BT-25</t>
  </si>
  <si>
    <t>P-02 PT-01</t>
  </si>
  <si>
    <t>P-03 BR-04</t>
  </si>
  <si>
    <t>P-04 ST-Gly</t>
  </si>
  <si>
    <t>P-06 WC-10</t>
  </si>
  <si>
    <t>P-07 GR-14</t>
  </si>
  <si>
    <t>P-08 BR-17</t>
  </si>
  <si>
    <t>P-09 FT-20</t>
  </si>
  <si>
    <t>P-10 WT-21</t>
  </si>
  <si>
    <t>P-11 MT-22</t>
  </si>
  <si>
    <t>P-12 GT-23</t>
  </si>
  <si>
    <t>P-13  OT-24</t>
  </si>
  <si>
    <t>P-14 BT-25</t>
  </si>
  <si>
    <t>Raw Material</t>
  </si>
  <si>
    <t>Liters</t>
  </si>
  <si>
    <t>Step 1 Acid Process</t>
  </si>
  <si>
    <t>Acid Oil</t>
  </si>
  <si>
    <t>Methanol</t>
  </si>
  <si>
    <t>Sul Acid</t>
  </si>
  <si>
    <t>Step 2 Acid Material</t>
  </si>
  <si>
    <t>Oil</t>
  </si>
  <si>
    <t>KOH</t>
  </si>
  <si>
    <t>Step2 Fresh Material</t>
  </si>
  <si>
    <t>Step 2 Solid Material</t>
  </si>
  <si>
    <t>Oil KG</t>
  </si>
  <si>
    <t>BioDiesel Reactor</t>
  </si>
  <si>
    <t>Oil Stg Tank</t>
  </si>
  <si>
    <t>Biod Stg Tank</t>
  </si>
  <si>
    <t>Glyc Stg Tank</t>
  </si>
  <si>
    <t>Wat Stg Tank</t>
  </si>
  <si>
    <t>Fuel Stg Tank</t>
  </si>
  <si>
    <t>Oil Feed Tank</t>
  </si>
  <si>
    <t>Methanol Stg Tank</t>
  </si>
  <si>
    <t>Biod  Purification</t>
  </si>
  <si>
    <t>Quantity</t>
  </si>
  <si>
    <t>Mat</t>
  </si>
  <si>
    <t>CS</t>
  </si>
  <si>
    <t>SS304</t>
  </si>
  <si>
    <t>LDO Lit/day</t>
  </si>
  <si>
    <t>Batch</t>
  </si>
  <si>
    <t>Pump Capacity LPM</t>
  </si>
  <si>
    <t>Material</t>
  </si>
  <si>
    <t>SS316L</t>
  </si>
  <si>
    <t>MC-13</t>
  </si>
  <si>
    <t>H-11/14/17</t>
  </si>
  <si>
    <t>Methanol Condenser</t>
  </si>
  <si>
    <t>MT-12/GT-15/BT-18</t>
  </si>
  <si>
    <t>H-11/14</t>
  </si>
  <si>
    <t>H-17</t>
  </si>
  <si>
    <t>Fabrication Cost Rs./Kg for SS316L</t>
  </si>
  <si>
    <t>Fabrication Cost Rs./Kg for Stg Tanks</t>
  </si>
  <si>
    <t>Flow Rate M3 / hr</t>
  </si>
  <si>
    <t>BC-05/BC-09/GC-16/BC-19</t>
  </si>
  <si>
    <t>Glycerine Feed Tank</t>
  </si>
  <si>
    <t>GF-02</t>
  </si>
  <si>
    <t>3 Nos.</t>
  </si>
  <si>
    <t>Pretreatment Tank</t>
  </si>
  <si>
    <t>BioDiesel Reactor 3 Nos.</t>
  </si>
  <si>
    <t>Settling Tanks 6 Nos.</t>
  </si>
  <si>
    <t>AC-20</t>
  </si>
  <si>
    <t>100 tpd Batch</t>
  </si>
  <si>
    <t>KCal/Hr</t>
  </si>
  <si>
    <t>OR</t>
  </si>
  <si>
    <t>Lakh KCal/Hr</t>
  </si>
  <si>
    <t>Hot Water Boiler</t>
  </si>
  <si>
    <t>Vessel Volume    Cu M</t>
  </si>
  <si>
    <t>Length    mm</t>
  </si>
  <si>
    <t>Shell  / Jacket Weight</t>
  </si>
  <si>
    <t>Distillation Towers - 3 Nos.</t>
  </si>
  <si>
    <t>Acid Columns -2 Nos.</t>
  </si>
  <si>
    <t>Dry Wash Columns - 2 Nos.</t>
  </si>
  <si>
    <t>Recycle Condensers - 4 Nos.</t>
  </si>
  <si>
    <t>Dry Wash Columns - 6 Nos.</t>
  </si>
  <si>
    <t>Acid Columns - 2 Nos.</t>
  </si>
  <si>
    <t>Shell / Jacket Weight</t>
  </si>
  <si>
    <t>PT-01/BR-04</t>
  </si>
  <si>
    <t>Agitators - 2 No.</t>
  </si>
  <si>
    <t>Settling Tanks - 3 Nos.</t>
  </si>
  <si>
    <t>Met Gly Purification - 2 No.</t>
  </si>
  <si>
    <t>Distillation Towers- 3 No.</t>
  </si>
  <si>
    <t>Dry Wash Columns- 2 Nos.</t>
  </si>
  <si>
    <t>Agitators - 2 nos.</t>
  </si>
  <si>
    <t>Met Gly Purification - 2 Nos.</t>
  </si>
  <si>
    <t>Acid Columns - 2 Nos</t>
  </si>
  <si>
    <t>Met Gly Purification - Nos.</t>
  </si>
  <si>
    <t>Agitators - 4 No.</t>
  </si>
  <si>
    <t>Dry Wash Columns - Nos.</t>
  </si>
  <si>
    <t>Met Gly Purification - 2 Nos</t>
  </si>
  <si>
    <t>Rec Vessel Coolers - 2 Nos.</t>
  </si>
  <si>
    <t>Rec Vessel Coolers</t>
  </si>
  <si>
    <t>Rec Vessel Coolers - 2 Nos</t>
  </si>
  <si>
    <t>Rec Vessel Coolers - 3 Nos.</t>
  </si>
  <si>
    <t>Nozzles / Legs Weight</t>
  </si>
  <si>
    <t>tpd</t>
  </si>
  <si>
    <t>Lit/day and</t>
  </si>
  <si>
    <t>lits/day</t>
  </si>
  <si>
    <t>Biod  Purification - 2No.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</si>
</sst>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(* #,##0_);_(* \(#,##0\);_(* &quot;-&quot;_);_(@_)"/>
    <numFmt numFmtId="164" formatCode="_-[$Rs-420]* #,##0.00_-;_-[$Rs-420]* #,##0.00\-;_-[$Rs-420]* &quot;-&quot;??_-;_-@_-"/>
    <numFmt numFmtId="165" formatCode="_-[$Rs-420]* #,##0_-;_-[$Rs-420]* #,##0\-;_-[$Rs-420]* &quot;-&quot;??_-;_-@_-"/>
    <numFmt numFmtId="166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 wrapText="1"/>
    </xf>
    <xf numFmtId="1" fontId="0" fillId="0" borderId="0" xfId="0" applyNumberFormat="1"/>
    <xf numFmtId="2" fontId="0" fillId="0" borderId="0" xfId="0" applyNumberFormat="1"/>
    <xf numFmtId="0" fontId="0" fillId="0" borderId="0" xfId="0" applyAlignment="1">
      <alignment horizontal="center" wrapText="1"/>
    </xf>
    <xf numFmtId="164" fontId="0" fillId="0" borderId="0" xfId="0" applyNumberFormat="1"/>
    <xf numFmtId="165" fontId="0" fillId="0" borderId="0" xfId="0" applyNumberFormat="1"/>
    <xf numFmtId="0" fontId="0" fillId="0" borderId="0" xfId="0" applyAlignment="1">
      <alignment horizontal="center" wrapText="1"/>
    </xf>
    <xf numFmtId="0" fontId="1" fillId="0" borderId="0" xfId="0" applyFont="1"/>
    <xf numFmtId="0" fontId="0" fillId="0" borderId="0" xfId="0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right"/>
    </xf>
    <xf numFmtId="0" fontId="0" fillId="0" borderId="0" xfId="0" applyAlignment="1">
      <alignment horizontal="center" wrapText="1"/>
    </xf>
    <xf numFmtId="164" fontId="0" fillId="0" borderId="0" xfId="0" applyNumberFormat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wrapText="1"/>
    </xf>
    <xf numFmtId="41" fontId="0" fillId="0" borderId="0" xfId="0" applyNumberFormat="1"/>
    <xf numFmtId="0" fontId="0" fillId="0" borderId="0" xfId="0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right" wrapText="1"/>
    </xf>
    <xf numFmtId="1" fontId="0" fillId="0" borderId="0" xfId="0" applyNumberFormat="1" applyAlignment="1">
      <alignment horizontal="right"/>
    </xf>
    <xf numFmtId="0" fontId="0" fillId="0" borderId="0" xfId="0" applyAlignment="1">
      <alignment horizontal="center" wrapText="1"/>
    </xf>
    <xf numFmtId="0" fontId="0" fillId="0" borderId="0" xfId="0" applyAlignment="1"/>
    <xf numFmtId="0" fontId="0" fillId="0" borderId="0" xfId="0" applyAlignment="1">
      <alignment horizontal="center" wrapText="1"/>
    </xf>
    <xf numFmtId="1" fontId="0" fillId="0" borderId="0" xfId="0" applyNumberFormat="1" applyAlignment="1"/>
    <xf numFmtId="0" fontId="0" fillId="0" borderId="0" xfId="0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Font="1"/>
    <xf numFmtId="0" fontId="0" fillId="0" borderId="0" xfId="0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166" fontId="0" fillId="0" borderId="0" xfId="0" applyNumberFormat="1"/>
    <xf numFmtId="166" fontId="0" fillId="0" borderId="0" xfId="0" applyNumberFormat="1" applyAlignment="1"/>
    <xf numFmtId="0" fontId="0" fillId="0" borderId="0" xfId="0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11"/>
  <sheetViews>
    <sheetView tabSelected="1" zoomScaleNormal="100" workbookViewId="0"/>
  </sheetViews>
  <sheetFormatPr defaultRowHeight="15" x14ac:dyDescent="0.25"/>
  <cols>
    <col min="1" max="1" width="12.85546875" customWidth="1"/>
    <col min="2" max="2" width="10.28515625" customWidth="1"/>
    <col min="3" max="3" width="16.7109375" customWidth="1"/>
    <col min="4" max="4" width="10.28515625" customWidth="1"/>
    <col min="5" max="5" width="10.5703125" customWidth="1"/>
    <col min="6" max="6" width="10.85546875" customWidth="1"/>
    <col min="7" max="7" width="9.5703125" customWidth="1"/>
    <col min="8" max="8" width="8.85546875" customWidth="1"/>
    <col min="9" max="9" width="5.28515625" customWidth="1"/>
    <col min="10" max="10" width="5.42578125" customWidth="1"/>
    <col min="11" max="11" width="5" customWidth="1"/>
    <col min="12" max="12" width="10.42578125" customWidth="1"/>
    <col min="13" max="13" width="10.7109375" customWidth="1"/>
    <col min="14" max="14" width="9.28515625" customWidth="1"/>
    <col min="15" max="15" width="14.85546875" customWidth="1"/>
    <col min="16" max="16" width="12.140625" customWidth="1"/>
    <col min="17" max="17" width="8.7109375" customWidth="1"/>
    <col min="18" max="18" width="11.28515625" customWidth="1"/>
    <col min="19" max="19" width="11" customWidth="1"/>
    <col min="20" max="20" width="14.140625" customWidth="1"/>
    <col min="21" max="21" width="8.28515625" customWidth="1"/>
    <col min="22" max="22" width="10" customWidth="1"/>
    <col min="23" max="23" width="9.5703125" customWidth="1"/>
    <col min="24" max="24" width="14.7109375" customWidth="1"/>
    <col min="26" max="26" width="10.140625" customWidth="1"/>
    <col min="27" max="27" width="11.7109375" customWidth="1"/>
    <col min="30" max="30" width="12.7109375" customWidth="1"/>
  </cols>
  <sheetData>
    <row r="1" spans="1:27" ht="60" x14ac:dyDescent="0.25">
      <c r="A1" s="2" t="s">
        <v>0</v>
      </c>
      <c r="B1" s="40" t="s">
        <v>115</v>
      </c>
      <c r="D1" s="40" t="s">
        <v>113</v>
      </c>
      <c r="E1" s="40" t="s">
        <v>20</v>
      </c>
      <c r="F1" s="40" t="s">
        <v>114</v>
      </c>
      <c r="T1" s="47" t="s">
        <v>45</v>
      </c>
      <c r="U1" s="47"/>
      <c r="V1" s="47"/>
      <c r="W1" s="47"/>
      <c r="X1" s="47"/>
      <c r="Y1" s="47"/>
      <c r="Z1" s="47"/>
      <c r="AA1" s="47"/>
    </row>
    <row r="2" spans="1:27" x14ac:dyDescent="0.25">
      <c r="B2" s="1"/>
      <c r="C2" t="s">
        <v>14</v>
      </c>
      <c r="D2">
        <v>500</v>
      </c>
      <c r="E2">
        <v>200</v>
      </c>
      <c r="F2">
        <v>100</v>
      </c>
      <c r="T2" s="47"/>
      <c r="U2" s="47"/>
      <c r="V2" s="47"/>
      <c r="W2" s="47"/>
      <c r="X2" s="47"/>
      <c r="Y2" s="47"/>
      <c r="Z2" s="47"/>
      <c r="AA2" s="47"/>
    </row>
    <row r="3" spans="1:27" ht="15.75" customHeight="1" x14ac:dyDescent="0.25">
      <c r="A3" t="s">
        <v>124</v>
      </c>
      <c r="B3">
        <v>30</v>
      </c>
      <c r="C3" s="42" t="s">
        <v>119</v>
      </c>
    </row>
    <row r="4" spans="1:27" ht="48.75" customHeight="1" x14ac:dyDescent="0.25">
      <c r="A4" s="41" t="s">
        <v>3</v>
      </c>
      <c r="B4" s="41" t="s">
        <v>98</v>
      </c>
      <c r="C4" s="41"/>
      <c r="D4" s="41" t="s">
        <v>129</v>
      </c>
      <c r="E4" s="41" t="s">
        <v>130</v>
      </c>
      <c r="F4" s="41" t="s">
        <v>5</v>
      </c>
      <c r="G4" s="41" t="s">
        <v>6</v>
      </c>
      <c r="H4" s="45" t="s">
        <v>10</v>
      </c>
      <c r="I4" s="46"/>
      <c r="L4" s="41" t="s">
        <v>131</v>
      </c>
      <c r="M4" s="41" t="s">
        <v>12</v>
      </c>
      <c r="N4" s="41" t="s">
        <v>156</v>
      </c>
      <c r="O4" s="7" t="s">
        <v>11</v>
      </c>
      <c r="P4" s="41" t="s">
        <v>46</v>
      </c>
      <c r="Q4" s="41" t="s">
        <v>48</v>
      </c>
      <c r="R4" s="41" t="s">
        <v>47</v>
      </c>
      <c r="S4" s="41" t="s">
        <v>49</v>
      </c>
      <c r="T4" s="41" t="s">
        <v>42</v>
      </c>
      <c r="U4" s="41" t="s">
        <v>104</v>
      </c>
      <c r="V4" s="41" t="s">
        <v>43</v>
      </c>
      <c r="W4" s="41" t="s">
        <v>44</v>
      </c>
      <c r="X4" s="41" t="s">
        <v>105</v>
      </c>
      <c r="Y4" s="41" t="s">
        <v>78</v>
      </c>
    </row>
    <row r="5" spans="1:27" ht="15.75" customHeight="1" x14ac:dyDescent="0.25">
      <c r="A5" s="3" t="s">
        <v>53</v>
      </c>
      <c r="B5" t="s">
        <v>120</v>
      </c>
      <c r="D5">
        <f>B3*0.65</f>
        <v>19.5</v>
      </c>
      <c r="E5">
        <v>3600</v>
      </c>
      <c r="F5" s="4">
        <f>SQRT(D5*4*1000/E5/3.14159)*1000</f>
        <v>2626.1607007300586</v>
      </c>
      <c r="G5">
        <v>2650</v>
      </c>
      <c r="H5" s="4">
        <v>10</v>
      </c>
      <c r="I5" s="4"/>
      <c r="J5" t="s">
        <v>100</v>
      </c>
      <c r="L5" s="5">
        <f>3.14159*G5*E5*H5*1.5*7.85/1000000</f>
        <v>3529.0580026499997</v>
      </c>
      <c r="M5" s="5">
        <f>G5*G5*1.22*1.22*H5*7.85*2/1000000</f>
        <v>1641.0093730000001</v>
      </c>
      <c r="N5" s="5">
        <f t="shared" ref="N5:N14" si="0">(K5+L5)*0.2</f>
        <v>705.81160052999996</v>
      </c>
      <c r="O5" s="8">
        <f>(L5+M5+N5)*E2*1.4</f>
        <v>1645246.1133303996</v>
      </c>
      <c r="P5" s="5">
        <f>(L5+M5+N5)</f>
        <v>5875.8789761799999</v>
      </c>
      <c r="Q5">
        <f>D5*1500</f>
        <v>29250</v>
      </c>
      <c r="R5" s="28">
        <f>P5+Q5</f>
        <v>35125.87897618</v>
      </c>
      <c r="S5" s="28">
        <f>R5*1.5</f>
        <v>52688.81846427</v>
      </c>
      <c r="T5" s="8" t="s">
        <v>50</v>
      </c>
      <c r="U5" s="20">
        <f>G29</f>
        <v>1000</v>
      </c>
      <c r="V5" s="5">
        <f>SQRT(U5/1000/60/3.14)*1000</f>
        <v>72.855031578655996</v>
      </c>
      <c r="W5" s="5">
        <f>SQRT(U5*3/4/1000/60/3.14)*1000</f>
        <v>63.094308140633586</v>
      </c>
      <c r="X5" s="47" t="s">
        <v>79</v>
      </c>
      <c r="Y5" s="47"/>
    </row>
    <row r="6" spans="1:27" ht="15.75" customHeight="1" x14ac:dyDescent="0.25">
      <c r="A6" s="3" t="s">
        <v>118</v>
      </c>
      <c r="B6" t="s">
        <v>117</v>
      </c>
      <c r="C6" s="41"/>
      <c r="D6" s="23">
        <f>B3*0.2</f>
        <v>6</v>
      </c>
      <c r="E6" s="23">
        <v>1200</v>
      </c>
      <c r="F6" s="24">
        <f>SQRT(D6*4*1000/E6/3.14159)*1000</f>
        <v>2523.1335876202693</v>
      </c>
      <c r="G6" s="23">
        <v>2500</v>
      </c>
      <c r="H6" s="24">
        <v>6</v>
      </c>
      <c r="I6" s="28"/>
      <c r="J6" t="s">
        <v>100</v>
      </c>
      <c r="L6" s="5">
        <f>3.14159*G6*E6*H6*7.85/1000000</f>
        <v>443.90666700000003</v>
      </c>
      <c r="M6" s="5">
        <f>G6*G6*1.22*1.22*H6*7.85*2/1000000</f>
        <v>876.29549999999995</v>
      </c>
      <c r="N6" s="5">
        <f t="shared" si="0"/>
        <v>88.781333400000008</v>
      </c>
      <c r="O6" s="8">
        <f>(L6+M6+N6)*E2</f>
        <v>281796.70007999998</v>
      </c>
      <c r="P6" s="5">
        <f t="shared" ref="P6:P14" si="1">L6+M6+N6</f>
        <v>1408.9835003999999</v>
      </c>
      <c r="Q6">
        <f>D6*1500</f>
        <v>9000</v>
      </c>
      <c r="R6" s="28">
        <f t="shared" ref="R6:R14" si="2">P6+Q6</f>
        <v>10408.9835004</v>
      </c>
      <c r="S6" s="28">
        <f>R6</f>
        <v>10408.9835004</v>
      </c>
      <c r="T6" s="8" t="s">
        <v>65</v>
      </c>
      <c r="U6" s="20">
        <f>D5*1000/60</f>
        <v>325</v>
      </c>
      <c r="V6" s="5">
        <f>SQRT(U6/1000/60/3.14)*1000</f>
        <v>41.533758300402617</v>
      </c>
      <c r="W6" s="5">
        <f>SQRT(U6*3/4/1000/60/3.14)*1000</f>
        <v>35.969289802791451</v>
      </c>
      <c r="X6" s="5" t="s">
        <v>80</v>
      </c>
      <c r="Y6" s="4">
        <f>D5*1000*0.8</f>
        <v>15600</v>
      </c>
    </row>
    <row r="7" spans="1:27" ht="15.75" customHeight="1" x14ac:dyDescent="0.25">
      <c r="A7" s="3" t="s">
        <v>52</v>
      </c>
      <c r="B7" t="s">
        <v>95</v>
      </c>
      <c r="C7" s="41"/>
      <c r="D7" s="23">
        <f>B3*0.6</f>
        <v>18</v>
      </c>
      <c r="E7" s="23">
        <v>2400</v>
      </c>
      <c r="F7" s="24">
        <f>SQRT(D7*4*1000/E7/3.14159)*1000</f>
        <v>3090.194921273785</v>
      </c>
      <c r="G7" s="23">
        <v>3000</v>
      </c>
      <c r="H7" s="24">
        <v>6</v>
      </c>
      <c r="I7" s="28"/>
      <c r="J7" t="s">
        <v>100</v>
      </c>
      <c r="L7" s="5">
        <f>3.14159*G7*E7*H7*7.85*1.5/1000000</f>
        <v>1598.0640011999999</v>
      </c>
      <c r="M7" s="5">
        <f>G7*G7*1.22*1.22*H7*7.85*2/1000000</f>
        <v>1261.8655200000001</v>
      </c>
      <c r="N7" s="5">
        <f t="shared" si="0"/>
        <v>319.61280024000001</v>
      </c>
      <c r="O7" s="8">
        <f>(L7+M7+N7)*E2</f>
        <v>635908.46428800002</v>
      </c>
      <c r="P7" s="5">
        <f t="shared" si="1"/>
        <v>3179.5423214399998</v>
      </c>
      <c r="Q7">
        <f>D7*900</f>
        <v>16200</v>
      </c>
      <c r="R7" s="28">
        <f t="shared" si="2"/>
        <v>19379.54232144</v>
      </c>
      <c r="S7" s="28">
        <f>R7</f>
        <v>19379.54232144</v>
      </c>
      <c r="T7" s="8" t="s">
        <v>66</v>
      </c>
      <c r="U7" s="20">
        <f>D8*1000/60</f>
        <v>325</v>
      </c>
      <c r="V7" s="5">
        <f t="shared" ref="V7:V18" si="3">SQRT(U7/1000/60/3.14)*1000</f>
        <v>41.533758300402617</v>
      </c>
      <c r="W7" s="5">
        <f t="shared" ref="W7:W18" si="4">SQRT(U7*3/4/1000/60/3.14)*1000</f>
        <v>35.969289802791451</v>
      </c>
      <c r="X7" s="5" t="s">
        <v>81</v>
      </c>
      <c r="Y7" s="4">
        <f>D5*1000*0.1</f>
        <v>1950</v>
      </c>
    </row>
    <row r="8" spans="1:27" ht="15.75" customHeight="1" x14ac:dyDescent="0.25">
      <c r="A8" t="s">
        <v>56</v>
      </c>
      <c r="B8" t="s">
        <v>121</v>
      </c>
      <c r="D8">
        <f>B3*0.65</f>
        <v>19.5</v>
      </c>
      <c r="E8">
        <v>3600</v>
      </c>
      <c r="F8" s="4">
        <f t="shared" ref="F8:F9" si="5">SQRT(D8*4*1000/E8/3.14159)*1000</f>
        <v>2626.1607007300586</v>
      </c>
      <c r="G8">
        <v>2650</v>
      </c>
      <c r="H8" s="4">
        <v>8</v>
      </c>
      <c r="I8" s="4"/>
      <c r="J8" t="s">
        <v>101</v>
      </c>
      <c r="L8" s="5">
        <f>3.14159*G8*E8*H8*8.15/1000000 +3.14159*G8*E8*H8*7.85/2000000</f>
        <v>2895.1762467600001</v>
      </c>
      <c r="M8" s="5">
        <f t="shared" ref="M8" si="6">G8*G8*1.22*1.22*H8*8.15*2/1000000</f>
        <v>1362.9784856000001</v>
      </c>
      <c r="N8" s="5">
        <f t="shared" si="0"/>
        <v>579.03524935200005</v>
      </c>
      <c r="O8" s="8">
        <f>(L8+M8+N8)*D2*3*1.2</f>
        <v>8706941.9670816008</v>
      </c>
      <c r="P8" s="5">
        <f>(L8+M8+N8)</f>
        <v>4837.1899817120011</v>
      </c>
      <c r="Q8">
        <f>D8*1200</f>
        <v>23400</v>
      </c>
      <c r="R8" s="28">
        <f>P8+Q8</f>
        <v>28237.189981711999</v>
      </c>
      <c r="S8" s="28">
        <f>R8*1.5</f>
        <v>42355.784972567999</v>
      </c>
      <c r="T8" s="8" t="s">
        <v>67</v>
      </c>
      <c r="U8" s="20">
        <f>D9*1000*0.1/60</f>
        <v>32.5</v>
      </c>
      <c r="V8" s="5">
        <f t="shared" si="3"/>
        <v>13.134127601619619</v>
      </c>
      <c r="W8" s="5">
        <f t="shared" si="4"/>
        <v>11.374488159548971</v>
      </c>
      <c r="X8" s="5" t="s">
        <v>82</v>
      </c>
      <c r="Y8" s="4">
        <f>D5*1000*0.00625</f>
        <v>121.875</v>
      </c>
    </row>
    <row r="9" spans="1:27" ht="15.75" customHeight="1" x14ac:dyDescent="0.25">
      <c r="A9" t="s">
        <v>54</v>
      </c>
      <c r="B9" t="s">
        <v>122</v>
      </c>
      <c r="D9">
        <f>D8</f>
        <v>19.5</v>
      </c>
      <c r="E9">
        <v>3600</v>
      </c>
      <c r="F9" s="4">
        <f t="shared" si="5"/>
        <v>2626.1607007300586</v>
      </c>
      <c r="G9">
        <v>2650</v>
      </c>
      <c r="H9" s="4">
        <v>8</v>
      </c>
      <c r="I9" s="4"/>
      <c r="J9" t="s">
        <v>100</v>
      </c>
      <c r="L9" s="5">
        <f>3.14159*G9*E9*H9*7.85/1000000</f>
        <v>1882.1642680799996</v>
      </c>
      <c r="M9" s="5">
        <f>G9*G9*1.22*1.22*H9*7.85*2/1000000</f>
        <v>1312.8074983999998</v>
      </c>
      <c r="N9" s="5">
        <f t="shared" si="0"/>
        <v>376.43285361599993</v>
      </c>
      <c r="O9" s="8">
        <f>(L9+M9+N9)*E2*6*1.25</f>
        <v>5357106.9301439989</v>
      </c>
      <c r="P9" s="5">
        <f>(L9+M9+N9)</f>
        <v>3571.4046200959992</v>
      </c>
      <c r="Q9">
        <f>D9*1200</f>
        <v>23400</v>
      </c>
      <c r="R9" s="28">
        <f>P9+Q9</f>
        <v>26971.404620096</v>
      </c>
      <c r="S9" s="28">
        <f t="shared" ref="S9:S14" si="7">R9</f>
        <v>26971.404620096</v>
      </c>
      <c r="T9" s="8" t="s">
        <v>51</v>
      </c>
      <c r="U9" s="20">
        <f>D9*1000*0.9/60</f>
        <v>292.5</v>
      </c>
      <c r="V9" s="5">
        <f t="shared" si="3"/>
        <v>39.402382804858853</v>
      </c>
      <c r="W9" s="5">
        <f t="shared" si="4"/>
        <v>34.123464478646916</v>
      </c>
      <c r="X9" s="44" t="s">
        <v>83</v>
      </c>
      <c r="Y9" s="44"/>
    </row>
    <row r="10" spans="1:27" ht="15.75" customHeight="1" x14ac:dyDescent="0.25">
      <c r="A10" t="s">
        <v>57</v>
      </c>
      <c r="B10" t="s">
        <v>148</v>
      </c>
      <c r="D10">
        <f>D8*0.15</f>
        <v>2.9249999999999998</v>
      </c>
      <c r="E10" s="34">
        <v>2000</v>
      </c>
      <c r="F10" s="4">
        <f>SQRT(D10*4*1000/E10/3.14159)*1000</f>
        <v>1364.5931287515439</v>
      </c>
      <c r="G10">
        <v>1400</v>
      </c>
      <c r="H10" s="4">
        <v>5</v>
      </c>
      <c r="I10" s="4"/>
      <c r="J10" t="s">
        <v>100</v>
      </c>
      <c r="L10" s="5">
        <f>3.14159*G10*E10*H10*2*7.85/1000000</f>
        <v>690.52148199999999</v>
      </c>
      <c r="M10" s="5">
        <f>G10*G10*1.22*1.22*H10*7.85*2/1000000</f>
        <v>229.005224</v>
      </c>
      <c r="N10" s="5">
        <f t="shared" si="0"/>
        <v>138.10429640000001</v>
      </c>
      <c r="O10" s="8">
        <f>(L10+M10+N10)*2*E2</f>
        <v>423052.40096</v>
      </c>
      <c r="P10" s="5">
        <f>(L10+M10+N10)</f>
        <v>1057.6310023999999</v>
      </c>
      <c r="Q10">
        <f>D10*1000</f>
        <v>2925</v>
      </c>
      <c r="R10" s="28">
        <f>P10+Q10</f>
        <v>3982.6310023999999</v>
      </c>
      <c r="S10" s="28">
        <f t="shared" si="7"/>
        <v>3982.6310023999999</v>
      </c>
      <c r="T10" s="8" t="s">
        <v>68</v>
      </c>
      <c r="U10" s="20">
        <f>U9</f>
        <v>292.5</v>
      </c>
      <c r="V10" s="5">
        <f t="shared" si="3"/>
        <v>39.402382804858853</v>
      </c>
      <c r="W10" s="5">
        <f t="shared" si="4"/>
        <v>34.123464478646916</v>
      </c>
      <c r="X10" s="5" t="s">
        <v>84</v>
      </c>
      <c r="Y10" s="4">
        <f>D8*1000*0.8</f>
        <v>15600</v>
      </c>
    </row>
    <row r="11" spans="1:27" ht="15.75" customHeight="1" x14ac:dyDescent="0.25">
      <c r="A11" t="s">
        <v>55</v>
      </c>
      <c r="B11" t="s">
        <v>160</v>
      </c>
      <c r="D11">
        <f>D8*0.8</f>
        <v>15.600000000000001</v>
      </c>
      <c r="E11" s="34">
        <v>3000</v>
      </c>
      <c r="F11" s="4">
        <f>SQRT(D11*4*1000/E11/3.14159)*1000</f>
        <v>2573.1014797354246</v>
      </c>
      <c r="G11">
        <v>2500</v>
      </c>
      <c r="H11" s="4">
        <v>5</v>
      </c>
      <c r="I11" s="4"/>
      <c r="J11" t="s">
        <v>100</v>
      </c>
      <c r="L11" s="5">
        <f>3.14159*G11*E11*H11*7.85*2/1000000</f>
        <v>1849.6111125</v>
      </c>
      <c r="M11" s="5">
        <f>G11*G11*1.22*1.22*H11*7.85*2/1000000</f>
        <v>730.24625000000003</v>
      </c>
      <c r="N11" s="5">
        <f t="shared" si="0"/>
        <v>369.92222250000003</v>
      </c>
      <c r="O11" s="8">
        <f>(L11+M11+N11)*E2*1.4*2</f>
        <v>1651876.5675999997</v>
      </c>
      <c r="P11" s="5">
        <f t="shared" si="1"/>
        <v>2949.7795849999998</v>
      </c>
      <c r="Q11">
        <f>D11*1200</f>
        <v>18720</v>
      </c>
      <c r="R11" s="28">
        <f t="shared" si="2"/>
        <v>21669.779585</v>
      </c>
      <c r="S11" s="28">
        <f t="shared" si="7"/>
        <v>21669.779585</v>
      </c>
      <c r="T11" s="8" t="s">
        <v>69</v>
      </c>
      <c r="U11" s="20">
        <f>D10*1000/60</f>
        <v>48.75</v>
      </c>
      <c r="V11" s="5">
        <f t="shared" si="3"/>
        <v>16.085955420286339</v>
      </c>
      <c r="W11" s="5">
        <f t="shared" si="4"/>
        <v>13.930846038111957</v>
      </c>
      <c r="X11" s="5" t="s">
        <v>81</v>
      </c>
      <c r="Y11" s="4"/>
    </row>
    <row r="12" spans="1:27" ht="15.75" customHeight="1" x14ac:dyDescent="0.25">
      <c r="A12" t="s">
        <v>110</v>
      </c>
      <c r="B12" t="s">
        <v>132</v>
      </c>
      <c r="E12" s="34">
        <v>3000</v>
      </c>
      <c r="F12" s="4">
        <v>300</v>
      </c>
      <c r="G12">
        <v>300</v>
      </c>
      <c r="H12" s="4">
        <v>3</v>
      </c>
      <c r="I12" s="4"/>
      <c r="J12" t="s">
        <v>100</v>
      </c>
      <c r="L12" s="5">
        <f>3.14159*G12*E12*H12*7.85/1000000</f>
        <v>66.586000049999996</v>
      </c>
      <c r="M12" s="5">
        <f>G12*G12*1.22*1.22*H12*7.85*2/1000000</f>
        <v>6.3093275999999996</v>
      </c>
      <c r="N12" s="5">
        <f t="shared" si="0"/>
        <v>13.317200010000001</v>
      </c>
      <c r="O12" s="8">
        <f>(L12+M12+N12)*E2*3*5</f>
        <v>258637.58298000004</v>
      </c>
      <c r="P12" s="5">
        <f>(L12+M12+N12)</f>
        <v>86.212527660000006</v>
      </c>
      <c r="Q12">
        <v>100</v>
      </c>
      <c r="R12" s="28">
        <f t="shared" si="2"/>
        <v>186.21252766000001</v>
      </c>
      <c r="S12" s="28">
        <f t="shared" si="7"/>
        <v>186.21252766000001</v>
      </c>
      <c r="T12" s="8" t="s">
        <v>70</v>
      </c>
      <c r="U12" s="20">
        <f>D11*1000/60</f>
        <v>260.00000000000006</v>
      </c>
      <c r="V12" s="5">
        <f t="shared" si="3"/>
        <v>37.148922768298554</v>
      </c>
      <c r="W12" s="5">
        <f t="shared" si="4"/>
        <v>32.171910840572686</v>
      </c>
      <c r="X12" s="5" t="s">
        <v>85</v>
      </c>
      <c r="Y12" s="4">
        <f>Y8*L10/2/L6</f>
        <v>94.791666666666671</v>
      </c>
    </row>
    <row r="13" spans="1:27" ht="15.75" customHeight="1" x14ac:dyDescent="0.25">
      <c r="A13" t="s">
        <v>123</v>
      </c>
      <c r="B13" t="s">
        <v>133</v>
      </c>
      <c r="D13">
        <f>D5*0.01</f>
        <v>0.19500000000000001</v>
      </c>
      <c r="E13">
        <v>2400</v>
      </c>
      <c r="F13" s="4">
        <f>SQRT(D13*4*1000/E13/3.14159)*1000</f>
        <v>321.63768496692808</v>
      </c>
      <c r="G13">
        <v>300</v>
      </c>
      <c r="H13" s="4">
        <v>3</v>
      </c>
      <c r="I13" s="4"/>
      <c r="J13" t="s">
        <v>106</v>
      </c>
      <c r="L13" s="5">
        <f>3.14159*G13*E13*H13*8.15/1000000</f>
        <v>55.30455036</v>
      </c>
      <c r="M13" s="5">
        <f>G13*G13*1.05*1.05*(K13+H13)*8.15*2/1000000</f>
        <v>4.8521025</v>
      </c>
      <c r="N13" s="5">
        <f t="shared" si="0"/>
        <v>11.060910072</v>
      </c>
      <c r="O13" s="8">
        <f>(L13+M13+N13)*D2*2</f>
        <v>71217.562932000001</v>
      </c>
      <c r="P13" s="5">
        <f t="shared" si="1"/>
        <v>71.217562932000007</v>
      </c>
      <c r="Q13">
        <f t="shared" ref="Q13:Q14" si="8">D13*800</f>
        <v>156</v>
      </c>
      <c r="R13" s="28">
        <f t="shared" si="2"/>
        <v>227.21756293200002</v>
      </c>
      <c r="S13" s="28">
        <f t="shared" si="7"/>
        <v>227.21756293200002</v>
      </c>
      <c r="T13" s="8" t="s">
        <v>71</v>
      </c>
      <c r="U13" s="20">
        <f>10000/60</f>
        <v>166.66666666666666</v>
      </c>
      <c r="V13" s="5">
        <f t="shared" si="3"/>
        <v>29.742942093677069</v>
      </c>
      <c r="W13" s="5">
        <f t="shared" si="4"/>
        <v>25.75814343641386</v>
      </c>
      <c r="X13" s="44" t="s">
        <v>86</v>
      </c>
      <c r="Y13" s="44"/>
    </row>
    <row r="14" spans="1:27" ht="15.75" customHeight="1" x14ac:dyDescent="0.25">
      <c r="A14" t="s">
        <v>59</v>
      </c>
      <c r="B14" t="s">
        <v>136</v>
      </c>
      <c r="D14">
        <f>D8*0.02</f>
        <v>0.39</v>
      </c>
      <c r="E14">
        <v>2400</v>
      </c>
      <c r="F14" s="4">
        <f>SQRT(D14*4*1000/E14/3.14159)*1000</f>
        <v>454.86437625051462</v>
      </c>
      <c r="G14">
        <v>300</v>
      </c>
      <c r="H14" s="4">
        <v>3</v>
      </c>
      <c r="I14" s="4"/>
      <c r="J14" t="s">
        <v>100</v>
      </c>
      <c r="L14" s="5">
        <f>3.14159*G14*E14*H14*7.85/1000000</f>
        <v>53.268800039999995</v>
      </c>
      <c r="M14" s="5">
        <f>G14*G14*1.05*1.05*(K14+H14)*7.85*2/1000000</f>
        <v>4.6734974999999999</v>
      </c>
      <c r="N14" s="5">
        <f t="shared" si="0"/>
        <v>10.653760007999999</v>
      </c>
      <c r="O14" s="8">
        <f>(L14+M14+N14)*E2*6</f>
        <v>82315.269057600002</v>
      </c>
      <c r="P14" s="5">
        <f t="shared" si="1"/>
        <v>68.596057548000005</v>
      </c>
      <c r="Q14">
        <f t="shared" si="8"/>
        <v>312</v>
      </c>
      <c r="R14" s="28">
        <f t="shared" si="2"/>
        <v>380.59605754799998</v>
      </c>
      <c r="S14" s="28">
        <f t="shared" si="7"/>
        <v>380.59605754799998</v>
      </c>
      <c r="T14" s="8" t="s">
        <v>72</v>
      </c>
      <c r="U14" s="20">
        <f>G28*1.2/60</f>
        <v>80</v>
      </c>
      <c r="V14" s="5">
        <f t="shared" si="3"/>
        <v>20.606514749131087</v>
      </c>
      <c r="W14" s="5">
        <f t="shared" si="4"/>
        <v>17.845765256206239</v>
      </c>
      <c r="X14" s="5" t="s">
        <v>84</v>
      </c>
      <c r="Y14" s="4">
        <f>D8*1000*0.8</f>
        <v>15600</v>
      </c>
    </row>
    <row r="15" spans="1:27" ht="15.75" customHeight="1" x14ac:dyDescent="0.25">
      <c r="A15" t="s">
        <v>116</v>
      </c>
      <c r="B15" t="s">
        <v>135</v>
      </c>
      <c r="D15" s="38">
        <f>3.14159*0.019*E15*14/1000</f>
        <v>2.0055910559999997</v>
      </c>
      <c r="E15">
        <v>2400</v>
      </c>
      <c r="J15" t="s">
        <v>100</v>
      </c>
      <c r="O15" s="8">
        <v>600000</v>
      </c>
      <c r="T15" s="8" t="s">
        <v>73</v>
      </c>
      <c r="U15" s="20">
        <f>D6*1000/60</f>
        <v>100</v>
      </c>
      <c r="V15" s="5">
        <f t="shared" si="3"/>
        <v>23.038783879204569</v>
      </c>
      <c r="W15" s="5">
        <f t="shared" si="4"/>
        <v>19.952172111690555</v>
      </c>
      <c r="X15" s="5" t="s">
        <v>81</v>
      </c>
      <c r="Y15" s="4">
        <f>Y14*0.2</f>
        <v>3120</v>
      </c>
    </row>
    <row r="16" spans="1:27" ht="15.75" customHeight="1" x14ac:dyDescent="0.25">
      <c r="A16" t="s">
        <v>107</v>
      </c>
      <c r="B16" t="s">
        <v>109</v>
      </c>
      <c r="D16" s="38">
        <f>3.14159*0.019*E16*14/1000</f>
        <v>2.5069888200000001</v>
      </c>
      <c r="E16">
        <v>3000</v>
      </c>
      <c r="J16" t="s">
        <v>100</v>
      </c>
      <c r="O16" s="8">
        <v>200000</v>
      </c>
      <c r="T16" s="8" t="s">
        <v>74</v>
      </c>
      <c r="U16" s="20">
        <f>10000/60</f>
        <v>166.66666666666666</v>
      </c>
      <c r="V16" s="5">
        <f t="shared" si="3"/>
        <v>29.742942093677069</v>
      </c>
      <c r="W16" s="5">
        <f t="shared" si="4"/>
        <v>25.75814343641386</v>
      </c>
      <c r="X16" s="5" t="s">
        <v>85</v>
      </c>
    </row>
    <row r="17" spans="1:25" ht="15.75" customHeight="1" x14ac:dyDescent="0.25">
      <c r="A17" t="s">
        <v>111</v>
      </c>
      <c r="B17" t="s">
        <v>152</v>
      </c>
      <c r="D17" s="38">
        <f>3.14159*0.019*E17*10/1000</f>
        <v>1.1938041999999998</v>
      </c>
      <c r="E17">
        <v>2000</v>
      </c>
      <c r="J17" t="s">
        <v>100</v>
      </c>
      <c r="O17" s="8">
        <v>150000</v>
      </c>
      <c r="T17" s="8" t="s">
        <v>75</v>
      </c>
      <c r="U17" s="20">
        <f>D7*1000/60</f>
        <v>300</v>
      </c>
      <c r="V17" s="5">
        <f t="shared" si="3"/>
        <v>39.904344223381109</v>
      </c>
      <c r="W17" s="5">
        <f t="shared" si="4"/>
        <v>34.558175818806852</v>
      </c>
      <c r="X17" s="44" t="s">
        <v>87</v>
      </c>
      <c r="Y17" s="44"/>
    </row>
    <row r="18" spans="1:25" ht="15.75" customHeight="1" x14ac:dyDescent="0.25">
      <c r="A18" t="s">
        <v>112</v>
      </c>
      <c r="B18" t="s">
        <v>153</v>
      </c>
      <c r="D18" s="38">
        <f>3.14159*0.019*E18*10/1000</f>
        <v>1.7907062999999999</v>
      </c>
      <c r="E18">
        <v>3000</v>
      </c>
      <c r="J18" t="s">
        <v>100</v>
      </c>
      <c r="O18" s="8">
        <v>150000</v>
      </c>
      <c r="T18" s="8" t="s">
        <v>76</v>
      </c>
      <c r="U18" s="20">
        <f>10000/60</f>
        <v>166.66666666666666</v>
      </c>
      <c r="V18" s="5">
        <f t="shared" si="3"/>
        <v>29.742942093677069</v>
      </c>
      <c r="W18" s="5">
        <f t="shared" si="4"/>
        <v>25.75814343641386</v>
      </c>
      <c r="X18" s="5" t="s">
        <v>88</v>
      </c>
      <c r="Y18" s="4">
        <f>D8*1000*0.8</f>
        <v>15600</v>
      </c>
    </row>
    <row r="19" spans="1:25" ht="15.75" customHeight="1" x14ac:dyDescent="0.25">
      <c r="A19" t="s">
        <v>139</v>
      </c>
      <c r="B19" t="s">
        <v>149</v>
      </c>
      <c r="D19" s="38"/>
      <c r="O19" s="8">
        <v>750000</v>
      </c>
      <c r="T19" s="8"/>
      <c r="U19" s="20"/>
      <c r="V19" s="5"/>
      <c r="W19" s="5"/>
      <c r="X19" s="5"/>
      <c r="Y19" s="4"/>
    </row>
    <row r="20" spans="1:25" ht="15.75" customHeight="1" x14ac:dyDescent="0.25">
      <c r="A20" t="s">
        <v>63</v>
      </c>
      <c r="B20" t="s">
        <v>90</v>
      </c>
      <c r="D20">
        <v>100</v>
      </c>
      <c r="E20">
        <v>5000</v>
      </c>
      <c r="F20" s="4">
        <f t="shared" ref="F20:F25" si="9">SQRT(D20*4*1000/E20/3.14159)*1000</f>
        <v>5046.2671752405386</v>
      </c>
      <c r="G20">
        <v>5000</v>
      </c>
      <c r="H20" s="4">
        <v>8</v>
      </c>
      <c r="I20" s="4">
        <v>6</v>
      </c>
      <c r="J20" t="s">
        <v>100</v>
      </c>
      <c r="K20" s="5"/>
      <c r="L20" s="5">
        <f t="shared" ref="L20:L25" si="10">3.14159*G20*E20*(H20+I20)*7.85/2000000</f>
        <v>4315.7592624999997</v>
      </c>
      <c r="M20" s="5">
        <f t="shared" ref="M20:M25" si="11">G20*G20*1.05*1.05*(K20+H20)*7.85/1000000</f>
        <v>1730.925</v>
      </c>
      <c r="N20" s="5">
        <f t="shared" ref="N20:N25" si="12">(K20+L20)*0.2</f>
        <v>863.15185250000002</v>
      </c>
      <c r="O20" s="8">
        <f>(L20+M20+N20)*F2*4</f>
        <v>2763934.446</v>
      </c>
      <c r="P20" s="5">
        <f t="shared" ref="P20:P25" si="13">L20+M20+N20</f>
        <v>6909.8361150000001</v>
      </c>
      <c r="Q20">
        <f>D20*900</f>
        <v>90000</v>
      </c>
      <c r="R20" s="28">
        <f t="shared" ref="R20:R25" si="14">P20+Q20</f>
        <v>96909.836114999998</v>
      </c>
      <c r="S20" s="28">
        <f t="shared" ref="S20:S25" si="15">R20</f>
        <v>96909.836114999998</v>
      </c>
      <c r="T20" s="4"/>
      <c r="U20" s="4"/>
      <c r="W20" s="13"/>
    </row>
    <row r="21" spans="1:25" ht="15.75" customHeight="1" x14ac:dyDescent="0.25">
      <c r="A21" t="s">
        <v>64</v>
      </c>
      <c r="B21" t="s">
        <v>91</v>
      </c>
      <c r="D21">
        <v>100</v>
      </c>
      <c r="E21">
        <v>5000</v>
      </c>
      <c r="F21" s="4">
        <f t="shared" si="9"/>
        <v>5046.2671752405386</v>
      </c>
      <c r="G21">
        <v>5000</v>
      </c>
      <c r="H21" s="4">
        <v>8</v>
      </c>
      <c r="I21" s="4">
        <v>6</v>
      </c>
      <c r="J21" t="s">
        <v>100</v>
      </c>
      <c r="K21" s="5"/>
      <c r="L21" s="5">
        <f t="shared" si="10"/>
        <v>4315.7592624999997</v>
      </c>
      <c r="M21" s="5">
        <f t="shared" si="11"/>
        <v>1730.925</v>
      </c>
      <c r="N21" s="5">
        <f t="shared" si="12"/>
        <v>863.15185250000002</v>
      </c>
      <c r="O21" s="8">
        <f>(L21+M21+N21)*F2*4</f>
        <v>2763934.446</v>
      </c>
      <c r="P21" s="5">
        <f t="shared" si="13"/>
        <v>6909.8361150000001</v>
      </c>
      <c r="Q21">
        <f>D21*900</f>
        <v>90000</v>
      </c>
      <c r="R21" s="28">
        <f t="shared" si="14"/>
        <v>96909.836114999998</v>
      </c>
      <c r="S21" s="28">
        <f t="shared" si="15"/>
        <v>96909.836114999998</v>
      </c>
      <c r="T21" s="4"/>
      <c r="U21" s="4"/>
      <c r="W21" s="13"/>
    </row>
    <row r="22" spans="1:25" ht="15.75" customHeight="1" x14ac:dyDescent="0.25">
      <c r="A22" t="s">
        <v>15</v>
      </c>
      <c r="B22" t="s">
        <v>92</v>
      </c>
      <c r="D22">
        <v>25</v>
      </c>
      <c r="E22">
        <v>3000</v>
      </c>
      <c r="F22" s="4">
        <f t="shared" si="9"/>
        <v>3257.3514550366253</v>
      </c>
      <c r="G22">
        <v>3000</v>
      </c>
      <c r="H22" s="4">
        <v>6</v>
      </c>
      <c r="I22" s="4">
        <v>5</v>
      </c>
      <c r="J22" t="s">
        <v>100</v>
      </c>
      <c r="K22" s="5"/>
      <c r="L22" s="5">
        <f t="shared" si="10"/>
        <v>1220.7433342500001</v>
      </c>
      <c r="M22" s="5">
        <f t="shared" si="11"/>
        <v>467.34974999999997</v>
      </c>
      <c r="N22" s="5">
        <f t="shared" si="12"/>
        <v>244.14866685000004</v>
      </c>
      <c r="O22" s="8">
        <f>(L22+M22+N22)*F2*2</f>
        <v>386448.35022000008</v>
      </c>
      <c r="P22" s="5">
        <f t="shared" si="13"/>
        <v>1932.2417511000003</v>
      </c>
      <c r="Q22">
        <f>D22*1500</f>
        <v>37500</v>
      </c>
      <c r="R22" s="28">
        <f t="shared" si="14"/>
        <v>39432.241751100002</v>
      </c>
      <c r="S22" s="28">
        <f t="shared" si="15"/>
        <v>39432.241751100002</v>
      </c>
    </row>
    <row r="23" spans="1:25" ht="15.75" customHeight="1" x14ac:dyDescent="0.25">
      <c r="A23" t="s">
        <v>62</v>
      </c>
      <c r="B23" t="s">
        <v>96</v>
      </c>
      <c r="D23">
        <v>20</v>
      </c>
      <c r="E23">
        <v>3600</v>
      </c>
      <c r="F23" s="4">
        <f t="shared" si="9"/>
        <v>2659.6163259173577</v>
      </c>
      <c r="G23" s="4">
        <v>2500</v>
      </c>
      <c r="H23" s="4">
        <v>6</v>
      </c>
      <c r="I23" s="4"/>
      <c r="J23" s="4"/>
      <c r="K23" s="5"/>
      <c r="L23" s="5">
        <f t="shared" ref="L23" si="16">3.14159*G23*E23*(H23+I23)*7.85/2000000</f>
        <v>665.86000049999984</v>
      </c>
      <c r="M23" s="5">
        <f t="shared" ref="M23" si="17">G23*G23*1.05*1.05*(K23+H23)*7.85/1000000</f>
        <v>324.54843749999998</v>
      </c>
      <c r="N23" s="5">
        <f t="shared" ref="N23" si="18">(K23+L23)*0.2</f>
        <v>133.17200009999996</v>
      </c>
      <c r="O23" s="8">
        <f>(L23+M23+N23)*F2*2</f>
        <v>224716.08761999995</v>
      </c>
      <c r="P23" s="5">
        <f t="shared" ref="P23" si="19">L23+M23+N23</f>
        <v>1123.5804380999998</v>
      </c>
      <c r="Q23">
        <f>D23*1500</f>
        <v>30000</v>
      </c>
      <c r="R23" s="28">
        <f t="shared" ref="R23" si="20">P23+Q23</f>
        <v>31123.580438099998</v>
      </c>
      <c r="S23" s="28">
        <f t="shared" ref="S23" si="21">R23</f>
        <v>31123.580438099998</v>
      </c>
    </row>
    <row r="24" spans="1:25" ht="15.75" customHeight="1" x14ac:dyDescent="0.25">
      <c r="A24" t="s">
        <v>61</v>
      </c>
      <c r="B24" t="s">
        <v>93</v>
      </c>
      <c r="D24">
        <v>25</v>
      </c>
      <c r="E24">
        <v>3000</v>
      </c>
      <c r="F24" s="4">
        <f t="shared" si="9"/>
        <v>3257.3514550366253</v>
      </c>
      <c r="G24">
        <v>3000</v>
      </c>
      <c r="H24" s="4">
        <v>6</v>
      </c>
      <c r="I24" s="4">
        <v>5</v>
      </c>
      <c r="J24" t="s">
        <v>100</v>
      </c>
      <c r="K24" s="5"/>
      <c r="L24" s="5">
        <f t="shared" si="10"/>
        <v>1220.7433342500001</v>
      </c>
      <c r="M24" s="5">
        <f t="shared" si="11"/>
        <v>467.34974999999997</v>
      </c>
      <c r="N24" s="5">
        <f t="shared" si="12"/>
        <v>244.14866685000004</v>
      </c>
      <c r="O24" s="8">
        <f>(L24+M24+N24)*F2*2</f>
        <v>386448.35022000008</v>
      </c>
      <c r="P24" s="5">
        <f t="shared" si="13"/>
        <v>1932.2417511000003</v>
      </c>
      <c r="Q24">
        <f>D24*1000</f>
        <v>25000</v>
      </c>
      <c r="R24" s="28">
        <f t="shared" si="14"/>
        <v>26932.241751100002</v>
      </c>
      <c r="S24" s="28">
        <f t="shared" si="15"/>
        <v>26932.241751100002</v>
      </c>
    </row>
    <row r="25" spans="1:25" ht="15.75" customHeight="1" x14ac:dyDescent="0.25">
      <c r="A25" t="s">
        <v>60</v>
      </c>
      <c r="B25" t="s">
        <v>94</v>
      </c>
      <c r="D25">
        <v>20</v>
      </c>
      <c r="E25">
        <v>3000</v>
      </c>
      <c r="F25" s="4">
        <f t="shared" si="9"/>
        <v>2913.4637120278971</v>
      </c>
      <c r="G25">
        <v>3000</v>
      </c>
      <c r="H25" s="4">
        <v>6</v>
      </c>
      <c r="I25" s="4">
        <v>5</v>
      </c>
      <c r="J25" t="s">
        <v>100</v>
      </c>
      <c r="K25" s="5"/>
      <c r="L25" s="5">
        <f t="shared" si="10"/>
        <v>1220.7433342500001</v>
      </c>
      <c r="M25" s="5">
        <f t="shared" si="11"/>
        <v>467.34974999999997</v>
      </c>
      <c r="N25" s="5">
        <f t="shared" si="12"/>
        <v>244.14866685000004</v>
      </c>
      <c r="O25" s="8">
        <f>(L25+M25+N25)*F2*2</f>
        <v>386448.35022000008</v>
      </c>
      <c r="P25" s="5">
        <f t="shared" si="13"/>
        <v>1932.2417511000003</v>
      </c>
      <c r="Q25">
        <f t="shared" ref="Q25" si="22">D25*800</f>
        <v>16000</v>
      </c>
      <c r="R25" s="28">
        <f t="shared" si="14"/>
        <v>17932.241751100002</v>
      </c>
      <c r="S25" s="28">
        <f t="shared" si="15"/>
        <v>17932.241751100002</v>
      </c>
      <c r="T25" s="4"/>
      <c r="U25" s="4"/>
      <c r="W25" s="13"/>
    </row>
    <row r="26" spans="1:25" ht="15.75" customHeight="1" x14ac:dyDescent="0.25">
      <c r="A26" t="s">
        <v>128</v>
      </c>
      <c r="E26" t="s">
        <v>127</v>
      </c>
      <c r="F26">
        <f>F28/2000*3</f>
        <v>5.33</v>
      </c>
      <c r="G26">
        <v>6</v>
      </c>
      <c r="O26" s="8"/>
      <c r="P26" s="8"/>
      <c r="Q26" s="8"/>
      <c r="R26" s="8"/>
      <c r="S26" s="8"/>
    </row>
    <row r="27" spans="1:25" ht="15.75" customHeight="1" x14ac:dyDescent="0.25">
      <c r="A27" t="s">
        <v>126</v>
      </c>
      <c r="N27" t="s">
        <v>13</v>
      </c>
      <c r="O27" s="8">
        <f>SUM(O5:O25)</f>
        <v>27876029.588733595</v>
      </c>
      <c r="P27" s="8"/>
      <c r="Q27" s="8"/>
      <c r="R27" s="8"/>
      <c r="S27" s="8"/>
    </row>
    <row r="28" spans="1:25" ht="15.75" customHeight="1" x14ac:dyDescent="0.25">
      <c r="A28" t="s">
        <v>16</v>
      </c>
      <c r="E28" t="s">
        <v>18</v>
      </c>
      <c r="F28" s="4">
        <f>(D5*2+D8+D10*2+D11)*40000/450/2</f>
        <v>3553.333333333333</v>
      </c>
      <c r="G28">
        <v>4000</v>
      </c>
      <c r="H28" s="5"/>
      <c r="L28" s="5"/>
      <c r="M28" s="5"/>
      <c r="N28" s="5"/>
      <c r="O28" s="8"/>
      <c r="P28" s="5"/>
      <c r="R28" s="5"/>
      <c r="S28" s="5"/>
    </row>
    <row r="29" spans="1:25" ht="15.75" customHeight="1" x14ac:dyDescent="0.25">
      <c r="A29" t="s">
        <v>17</v>
      </c>
      <c r="E29" t="s">
        <v>19</v>
      </c>
      <c r="G29">
        <f>G28*450/3/600</f>
        <v>1000</v>
      </c>
      <c r="H29" s="5"/>
      <c r="L29" s="5"/>
      <c r="M29" s="5"/>
      <c r="N29" s="5"/>
      <c r="O29" s="8"/>
      <c r="P29" s="5"/>
      <c r="R29" s="5"/>
      <c r="S29" s="5"/>
    </row>
    <row r="30" spans="1:25" ht="17.25" customHeight="1" x14ac:dyDescent="0.25">
      <c r="A30" s="42"/>
      <c r="F30" s="4"/>
    </row>
    <row r="31" spans="1:25" ht="15.75" customHeight="1" x14ac:dyDescent="0.25">
      <c r="A31">
        <v>30</v>
      </c>
      <c r="B31" s="17" t="s">
        <v>157</v>
      </c>
      <c r="C31" t="s">
        <v>103</v>
      </c>
    </row>
    <row r="32" spans="1:25" ht="54" customHeight="1" x14ac:dyDescent="0.25">
      <c r="A32" s="18" t="s">
        <v>3</v>
      </c>
      <c r="B32" s="30" t="s">
        <v>98</v>
      </c>
      <c r="C32" s="18"/>
      <c r="D32" s="29" t="s">
        <v>2</v>
      </c>
      <c r="E32" s="18" t="s">
        <v>4</v>
      </c>
      <c r="F32" s="18" t="s">
        <v>5</v>
      </c>
      <c r="G32" s="18" t="s">
        <v>6</v>
      </c>
      <c r="H32" s="45" t="s">
        <v>10</v>
      </c>
      <c r="I32" s="46"/>
      <c r="L32" s="18" t="s">
        <v>131</v>
      </c>
      <c r="M32" s="18" t="s">
        <v>12</v>
      </c>
      <c r="N32" s="18" t="s">
        <v>156</v>
      </c>
      <c r="O32" s="7" t="s">
        <v>11</v>
      </c>
      <c r="P32" s="27" t="s">
        <v>46</v>
      </c>
      <c r="Q32" s="27" t="s">
        <v>48</v>
      </c>
      <c r="R32" s="27" t="s">
        <v>47</v>
      </c>
      <c r="S32" s="27" t="s">
        <v>49</v>
      </c>
      <c r="T32" s="36" t="s">
        <v>42</v>
      </c>
      <c r="U32" s="35" t="s">
        <v>104</v>
      </c>
      <c r="V32" s="35" t="s">
        <v>43</v>
      </c>
      <c r="W32" s="35" t="s">
        <v>44</v>
      </c>
      <c r="X32" s="36" t="s">
        <v>105</v>
      </c>
      <c r="Y32" s="36" t="s">
        <v>78</v>
      </c>
    </row>
    <row r="33" spans="1:25" ht="15.75" customHeight="1" x14ac:dyDescent="0.25">
      <c r="A33" s="3" t="s">
        <v>53</v>
      </c>
      <c r="B33" t="s">
        <v>120</v>
      </c>
      <c r="D33">
        <f>A31*0.65</f>
        <v>19.5</v>
      </c>
      <c r="E33">
        <v>3600</v>
      </c>
      <c r="F33" s="4">
        <f>SQRT(D33*4*1000/E33/3.14159)*1000</f>
        <v>2626.1607007300586</v>
      </c>
      <c r="G33">
        <v>2650</v>
      </c>
      <c r="H33" s="4">
        <v>10</v>
      </c>
      <c r="I33" s="4"/>
      <c r="J33" t="s">
        <v>100</v>
      </c>
      <c r="L33" s="5">
        <f>3.14159*G33*E33*H33*7.85*1.5/1000000</f>
        <v>3529.0580026499997</v>
      </c>
      <c r="M33" s="5">
        <f>G33*G33*1.22*1.22*H33*7.85*2/1000000</f>
        <v>1641.0093730000001</v>
      </c>
      <c r="N33" s="5">
        <f t="shared" ref="N33:N42" si="23">(K33+L33)*0.2</f>
        <v>705.81160052999996</v>
      </c>
      <c r="O33" s="8">
        <f>(L33+M33+N33)*E2*1.4</f>
        <v>1645246.1133303996</v>
      </c>
      <c r="P33" s="5">
        <f t="shared" ref="P33:P40" si="24">L33+M33+N33</f>
        <v>5875.8789761799999</v>
      </c>
      <c r="Q33">
        <f>D33*1500</f>
        <v>29250</v>
      </c>
      <c r="R33" s="28">
        <f t="shared" ref="R33:R42" si="25">P33+Q33</f>
        <v>35125.87897618</v>
      </c>
      <c r="S33" s="28">
        <f>R33*1.5</f>
        <v>52688.81846427</v>
      </c>
      <c r="T33" s="8" t="s">
        <v>50</v>
      </c>
      <c r="U33" s="20">
        <f>G59</f>
        <v>1000</v>
      </c>
      <c r="V33" s="5">
        <f>SQRT(U33/1000/60/3.14)*1000</f>
        <v>72.855031578655996</v>
      </c>
      <c r="W33" s="5">
        <f>SQRT(U33*3/4/1000/60/3.14)*1000</f>
        <v>63.094308140633586</v>
      </c>
      <c r="X33" s="47" t="s">
        <v>79</v>
      </c>
      <c r="Y33" s="47"/>
    </row>
    <row r="34" spans="1:25" ht="15.75" customHeight="1" x14ac:dyDescent="0.25">
      <c r="A34" s="3" t="s">
        <v>118</v>
      </c>
      <c r="B34" t="s">
        <v>117</v>
      </c>
      <c r="C34" s="32"/>
      <c r="D34" s="23">
        <f>A31*0.2</f>
        <v>6</v>
      </c>
      <c r="E34" s="23">
        <v>1200</v>
      </c>
      <c r="F34" s="24">
        <f>SQRT(D34*4*1000/E34/3.14159)*1000</f>
        <v>2523.1335876202693</v>
      </c>
      <c r="G34" s="23">
        <v>2500</v>
      </c>
      <c r="H34" s="24">
        <v>6</v>
      </c>
      <c r="I34" s="28"/>
      <c r="J34" t="s">
        <v>100</v>
      </c>
      <c r="L34" s="5">
        <f>3.14159*G34*E34*H34*7.85/1000000</f>
        <v>443.90666700000003</v>
      </c>
      <c r="M34" s="5">
        <f>G34*G34*1.22*1.22*H34*7.85*2/1000000</f>
        <v>876.29549999999995</v>
      </c>
      <c r="N34" s="5">
        <f t="shared" si="23"/>
        <v>88.781333400000008</v>
      </c>
      <c r="O34" s="8">
        <f>(L34+M34+N34)*E2</f>
        <v>281796.70007999998</v>
      </c>
      <c r="P34" s="5">
        <f t="shared" si="24"/>
        <v>1408.9835003999999</v>
      </c>
      <c r="Q34">
        <f>D34*1500</f>
        <v>9000</v>
      </c>
      <c r="R34" s="28">
        <f t="shared" si="25"/>
        <v>10408.9835004</v>
      </c>
      <c r="S34" s="28">
        <f>R34</f>
        <v>10408.9835004</v>
      </c>
      <c r="T34" s="8" t="s">
        <v>65</v>
      </c>
      <c r="U34" s="20">
        <f>D33*1000/15</f>
        <v>1300</v>
      </c>
      <c r="V34" s="5">
        <f>SQRT(U34/1000/60/3.14)*1000</f>
        <v>83.067516600805234</v>
      </c>
      <c r="W34" s="5">
        <f>SQRT(U34*3/4/1000/60/3.14)*1000</f>
        <v>71.938579605582902</v>
      </c>
      <c r="X34" s="5" t="s">
        <v>80</v>
      </c>
      <c r="Y34" s="4">
        <f>D33*1000*0.8</f>
        <v>15600</v>
      </c>
    </row>
    <row r="35" spans="1:25" ht="15.75" customHeight="1" x14ac:dyDescent="0.25">
      <c r="A35" s="3" t="s">
        <v>52</v>
      </c>
      <c r="B35" t="s">
        <v>95</v>
      </c>
      <c r="C35" s="32"/>
      <c r="D35" s="23">
        <f>A31*0.6</f>
        <v>18</v>
      </c>
      <c r="E35" s="23">
        <v>2400</v>
      </c>
      <c r="F35" s="24">
        <f>SQRT(D35*4*1000/E35/3.14159)*1000</f>
        <v>3090.194921273785</v>
      </c>
      <c r="G35" s="23">
        <v>3000</v>
      </c>
      <c r="H35" s="24">
        <v>6</v>
      </c>
      <c r="I35" s="28"/>
      <c r="J35" t="s">
        <v>100</v>
      </c>
      <c r="L35" s="5">
        <f>3.14159*G35*E35*H35*7.85*1.5/1000000</f>
        <v>1598.0640011999999</v>
      </c>
      <c r="M35" s="5">
        <f>G35*G35*1.22*1.22*H35*7.85*2/1000000</f>
        <v>1261.8655200000001</v>
      </c>
      <c r="N35" s="5">
        <f t="shared" si="23"/>
        <v>319.61280024000001</v>
      </c>
      <c r="O35" s="8">
        <f>(L35+M35+N35)*E2</f>
        <v>635908.46428800002</v>
      </c>
      <c r="P35" s="5">
        <f t="shared" si="24"/>
        <v>3179.5423214399998</v>
      </c>
      <c r="Q35">
        <f>D35*900</f>
        <v>16200</v>
      </c>
      <c r="R35" s="28">
        <f t="shared" si="25"/>
        <v>19379.54232144</v>
      </c>
      <c r="S35" s="28">
        <f>R35</f>
        <v>19379.54232144</v>
      </c>
      <c r="T35" s="8" t="s">
        <v>66</v>
      </c>
      <c r="U35" s="20">
        <f>D36*1000/15</f>
        <v>1300</v>
      </c>
      <c r="V35" s="5">
        <f t="shared" ref="V35:V42" si="26">SQRT(U35/1000/60/3.14)*1000</f>
        <v>83.067516600805234</v>
      </c>
      <c r="W35" s="5">
        <f t="shared" ref="W35:W42" si="27">SQRT(U35*3/4/1000/60/3.14)*1000</f>
        <v>71.938579605582902</v>
      </c>
      <c r="X35" s="5" t="s">
        <v>81</v>
      </c>
      <c r="Y35" s="4">
        <f>D33*1000*0.1</f>
        <v>1950</v>
      </c>
    </row>
    <row r="36" spans="1:25" ht="15.75" customHeight="1" x14ac:dyDescent="0.25">
      <c r="A36" t="s">
        <v>56</v>
      </c>
      <c r="B36" t="s">
        <v>89</v>
      </c>
      <c r="D36">
        <f>A31*0.65</f>
        <v>19.5</v>
      </c>
      <c r="E36">
        <v>3600</v>
      </c>
      <c r="F36" s="4">
        <f t="shared" ref="F36:F37" si="28">SQRT(D36*4*1000/E36/3.14159)*1000</f>
        <v>2626.1607007300586</v>
      </c>
      <c r="G36">
        <v>2650</v>
      </c>
      <c r="H36" s="4">
        <v>8</v>
      </c>
      <c r="I36" s="4"/>
      <c r="J36" t="s">
        <v>101</v>
      </c>
      <c r="L36" s="5">
        <f>3.14159*G36*E36*H36*8.15/1000000+3.14159*G36*E36*H36*7.85/2000000</f>
        <v>2895.1762467600001</v>
      </c>
      <c r="M36" s="5">
        <f t="shared" ref="M36" si="29">G36*G36*1.22*1.22*H36*8.15*2/1000000</f>
        <v>1362.9784856000001</v>
      </c>
      <c r="N36" s="5">
        <f t="shared" si="23"/>
        <v>579.03524935200005</v>
      </c>
      <c r="O36" s="8">
        <f>(L36+M36+N36)*D2*1.2</f>
        <v>2902313.9890272007</v>
      </c>
      <c r="P36" s="5">
        <f t="shared" si="24"/>
        <v>4837.1899817120011</v>
      </c>
      <c r="Q36">
        <f>D36*1200</f>
        <v>23400</v>
      </c>
      <c r="R36" s="28">
        <f t="shared" si="25"/>
        <v>28237.189981711999</v>
      </c>
      <c r="S36" s="28">
        <f>R36*1.5</f>
        <v>42355.784972567999</v>
      </c>
      <c r="T36" s="8" t="s">
        <v>67</v>
      </c>
      <c r="U36" s="20">
        <f>D37*1000*0.1/60</f>
        <v>32.5</v>
      </c>
      <c r="V36" s="5">
        <f t="shared" si="26"/>
        <v>13.134127601619619</v>
      </c>
      <c r="W36" s="5">
        <f t="shared" si="27"/>
        <v>11.374488159548971</v>
      </c>
      <c r="X36" s="5" t="s">
        <v>82</v>
      </c>
      <c r="Y36" s="4">
        <f>D33*1000*0.00625</f>
        <v>121.875</v>
      </c>
    </row>
    <row r="37" spans="1:25" ht="15.75" customHeight="1" x14ac:dyDescent="0.25">
      <c r="A37" t="s">
        <v>54</v>
      </c>
      <c r="B37" t="s">
        <v>141</v>
      </c>
      <c r="D37">
        <f>D36</f>
        <v>19.5</v>
      </c>
      <c r="E37">
        <v>2400</v>
      </c>
      <c r="F37" s="4">
        <f t="shared" si="28"/>
        <v>3216.376849669281</v>
      </c>
      <c r="G37">
        <v>3200</v>
      </c>
      <c r="H37" s="4">
        <v>8</v>
      </c>
      <c r="I37" s="4"/>
      <c r="J37" t="s">
        <v>100</v>
      </c>
      <c r="L37" s="5">
        <f>3.14159*G37*E37*H37*7.85/1000000</f>
        <v>1515.2014233599998</v>
      </c>
      <c r="M37" s="5">
        <f>G37*G37*1.22*1.22*H37*7.85*2/1000000</f>
        <v>1914.2967295999999</v>
      </c>
      <c r="N37" s="5">
        <f t="shared" si="23"/>
        <v>303.04028467199998</v>
      </c>
      <c r="O37" s="8">
        <f>(L37+M37+N37)*E2*3*1.25</f>
        <v>2799403.8282239996</v>
      </c>
      <c r="P37" s="5">
        <f t="shared" si="24"/>
        <v>3732.5384376319998</v>
      </c>
      <c r="Q37">
        <f>D37*1200</f>
        <v>23400</v>
      </c>
      <c r="R37" s="28">
        <f t="shared" si="25"/>
        <v>27132.538437632</v>
      </c>
      <c r="S37" s="28">
        <f t="shared" ref="S37:S42" si="30">R37</f>
        <v>27132.538437632</v>
      </c>
      <c r="T37" s="8" t="s">
        <v>51</v>
      </c>
      <c r="U37" s="20">
        <f>D37*1000*0.9/60</f>
        <v>292.5</v>
      </c>
      <c r="V37" s="5">
        <f t="shared" si="26"/>
        <v>39.402382804858853</v>
      </c>
      <c r="W37" s="5">
        <f t="shared" si="27"/>
        <v>34.123464478646916</v>
      </c>
      <c r="X37" s="44" t="s">
        <v>83</v>
      </c>
      <c r="Y37" s="44"/>
    </row>
    <row r="38" spans="1:25" ht="15.75" customHeight="1" x14ac:dyDescent="0.25">
      <c r="A38" t="s">
        <v>57</v>
      </c>
      <c r="B38" t="s">
        <v>146</v>
      </c>
      <c r="D38">
        <f>D36*0.15</f>
        <v>2.9249999999999998</v>
      </c>
      <c r="E38" s="34">
        <v>2000</v>
      </c>
      <c r="F38" s="4">
        <f>SQRT(D38*4*1000/E38/3.14159)*1000</f>
        <v>1364.5931287515439</v>
      </c>
      <c r="G38">
        <v>1400</v>
      </c>
      <c r="H38" s="4">
        <v>5</v>
      </c>
      <c r="I38" s="4"/>
      <c r="J38" t="s">
        <v>100</v>
      </c>
      <c r="L38" s="5">
        <f>3.14159*G38*E38*H38*7.85*2/1000000</f>
        <v>690.52148199999999</v>
      </c>
      <c r="M38" s="5">
        <f>G38*G38*1.22*1.22*H38*7.85*2/1000000</f>
        <v>229.005224</v>
      </c>
      <c r="N38" s="5">
        <f t="shared" si="23"/>
        <v>138.10429640000001</v>
      </c>
      <c r="O38" s="8">
        <f>(L38+M38+N38)*E2*2</f>
        <v>423052.40096</v>
      </c>
      <c r="P38" s="5">
        <f t="shared" si="24"/>
        <v>1057.6310023999999</v>
      </c>
      <c r="Q38">
        <f>D38*1000</f>
        <v>2925</v>
      </c>
      <c r="R38" s="28">
        <f t="shared" si="25"/>
        <v>3982.6310023999999</v>
      </c>
      <c r="S38" s="28">
        <f t="shared" si="30"/>
        <v>3982.6310023999999</v>
      </c>
      <c r="T38" s="8" t="s">
        <v>68</v>
      </c>
      <c r="U38" s="20">
        <f>U37</f>
        <v>292.5</v>
      </c>
      <c r="V38" s="5">
        <f t="shared" si="26"/>
        <v>39.402382804858853</v>
      </c>
      <c r="W38" s="5">
        <f t="shared" si="27"/>
        <v>34.123464478646916</v>
      </c>
      <c r="X38" s="5" t="s">
        <v>84</v>
      </c>
      <c r="Y38" s="4">
        <f>D36*1000*0.8</f>
        <v>15600</v>
      </c>
    </row>
    <row r="39" spans="1:25" ht="15.75" customHeight="1" x14ac:dyDescent="0.25">
      <c r="A39" t="s">
        <v>55</v>
      </c>
      <c r="B39" t="s">
        <v>97</v>
      </c>
      <c r="D39">
        <f>D36*0.8</f>
        <v>15.600000000000001</v>
      </c>
      <c r="E39" s="34">
        <v>3000</v>
      </c>
      <c r="F39" s="4">
        <f>SQRT(D39*4*1000/E39/3.14159)*1000</f>
        <v>2573.1014797354246</v>
      </c>
      <c r="G39">
        <v>2500</v>
      </c>
      <c r="H39" s="4">
        <v>5</v>
      </c>
      <c r="I39" s="4"/>
      <c r="J39" t="s">
        <v>100</v>
      </c>
      <c r="L39" s="5">
        <f>3.14159*G39*E39*H39*7.85*2/1000000</f>
        <v>1849.6111125</v>
      </c>
      <c r="M39" s="5">
        <f>G39*G39*1.22*1.22*H39*7.85*2/1000000</f>
        <v>730.24625000000003</v>
      </c>
      <c r="N39" s="5">
        <f t="shared" si="23"/>
        <v>369.92222250000003</v>
      </c>
      <c r="O39" s="8">
        <f>(L39+M39+N39)*E2*1.4</f>
        <v>825938.28379999986</v>
      </c>
      <c r="P39" s="5">
        <f t="shared" si="24"/>
        <v>2949.7795849999998</v>
      </c>
      <c r="Q39">
        <f>D39*1200</f>
        <v>18720</v>
      </c>
      <c r="R39" s="28">
        <f t="shared" si="25"/>
        <v>21669.779585</v>
      </c>
      <c r="S39" s="28">
        <f t="shared" si="30"/>
        <v>21669.779585</v>
      </c>
      <c r="T39" s="8" t="s">
        <v>69</v>
      </c>
      <c r="U39" s="20">
        <f>D38*1000/60</f>
        <v>48.75</v>
      </c>
      <c r="V39" s="5">
        <f t="shared" si="26"/>
        <v>16.085955420286339</v>
      </c>
      <c r="W39" s="5">
        <f t="shared" si="27"/>
        <v>13.930846038111957</v>
      </c>
      <c r="X39" s="5" t="s">
        <v>81</v>
      </c>
      <c r="Y39" s="4"/>
    </row>
    <row r="40" spans="1:25" ht="15.75" customHeight="1" x14ac:dyDescent="0.25">
      <c r="A40" t="s">
        <v>110</v>
      </c>
      <c r="B40" t="s">
        <v>132</v>
      </c>
      <c r="E40" s="34">
        <v>3000</v>
      </c>
      <c r="F40" s="4">
        <v>300</v>
      </c>
      <c r="G40">
        <v>300</v>
      </c>
      <c r="H40" s="4">
        <v>3</v>
      </c>
      <c r="I40" s="4"/>
      <c r="J40" t="s">
        <v>100</v>
      </c>
      <c r="L40" s="5">
        <f>3.14159*G40*E40*H40*7.85/1000000</f>
        <v>66.586000049999996</v>
      </c>
      <c r="M40" s="5">
        <f>G40*G40*1.22*1.22*H40*7.85*2/1000000</f>
        <v>6.3093275999999996</v>
      </c>
      <c r="N40" s="5">
        <f t="shared" si="23"/>
        <v>13.317200010000001</v>
      </c>
      <c r="O40" s="8">
        <f>(L40+M40+N40)*E2*3*5</f>
        <v>258637.58298000004</v>
      </c>
      <c r="P40" s="5">
        <f t="shared" si="24"/>
        <v>86.212527660000006</v>
      </c>
      <c r="Q40">
        <v>100</v>
      </c>
      <c r="R40" s="28">
        <f t="shared" si="25"/>
        <v>186.21252766000001</v>
      </c>
      <c r="S40" s="28">
        <f t="shared" si="30"/>
        <v>186.21252766000001</v>
      </c>
      <c r="T40" s="8" t="s">
        <v>70</v>
      </c>
      <c r="U40" s="20">
        <f>D39*1000/60</f>
        <v>260.00000000000006</v>
      </c>
      <c r="V40" s="5">
        <f t="shared" si="26"/>
        <v>37.148922768298554</v>
      </c>
      <c r="W40" s="5">
        <f t="shared" si="27"/>
        <v>32.171910840572686</v>
      </c>
      <c r="X40" s="5" t="s">
        <v>85</v>
      </c>
      <c r="Y40" s="4">
        <f>Y36*L38/2/L34</f>
        <v>94.791666666666671</v>
      </c>
    </row>
    <row r="41" spans="1:25" ht="15.75" customHeight="1" x14ac:dyDescent="0.25">
      <c r="A41" t="s">
        <v>58</v>
      </c>
      <c r="B41" t="s">
        <v>137</v>
      </c>
      <c r="D41">
        <f>D33*0.01</f>
        <v>0.19500000000000001</v>
      </c>
      <c r="E41">
        <v>2400</v>
      </c>
      <c r="F41" s="4">
        <f>SQRT(D41*4*1000/E41/3.14159)*1000</f>
        <v>321.63768496692808</v>
      </c>
      <c r="G41">
        <v>300</v>
      </c>
      <c r="H41" s="4">
        <v>3</v>
      </c>
      <c r="I41" s="4"/>
      <c r="J41" t="s">
        <v>106</v>
      </c>
      <c r="L41" s="5">
        <f>3.14159*G41*E41*H41*8.15/1000000</f>
        <v>55.30455036</v>
      </c>
      <c r="M41" s="5">
        <f>G41*G41*1.05*1.05*(K41+H41)*8.15*2/1000000</f>
        <v>4.8521025</v>
      </c>
      <c r="N41" s="5">
        <f t="shared" si="23"/>
        <v>11.060910072</v>
      </c>
      <c r="O41" s="8">
        <f>(L41+M41+N41)*D2*2</f>
        <v>71217.562932000001</v>
      </c>
      <c r="P41" s="5">
        <f>(L41+M41+N41)</f>
        <v>71.217562932000007</v>
      </c>
      <c r="Q41">
        <f t="shared" ref="Q41:Q42" si="31">D41*800</f>
        <v>156</v>
      </c>
      <c r="R41" s="28">
        <f t="shared" si="25"/>
        <v>227.21756293200002</v>
      </c>
      <c r="S41" s="28">
        <f t="shared" si="30"/>
        <v>227.21756293200002</v>
      </c>
      <c r="T41" s="8" t="s">
        <v>71</v>
      </c>
      <c r="U41" s="20">
        <f>10000/60</f>
        <v>166.66666666666666</v>
      </c>
      <c r="V41" s="5">
        <f t="shared" si="26"/>
        <v>29.742942093677069</v>
      </c>
      <c r="W41" s="5">
        <f t="shared" si="27"/>
        <v>25.75814343641386</v>
      </c>
      <c r="X41" s="44" t="s">
        <v>86</v>
      </c>
      <c r="Y41" s="44"/>
    </row>
    <row r="42" spans="1:25" ht="15.75" customHeight="1" x14ac:dyDescent="0.25">
      <c r="A42" t="s">
        <v>59</v>
      </c>
      <c r="B42" t="s">
        <v>134</v>
      </c>
      <c r="D42">
        <f>D36*0.02</f>
        <v>0.39</v>
      </c>
      <c r="E42">
        <v>2400</v>
      </c>
      <c r="F42" s="4">
        <f>SQRT(D42*4*1000/E42/3.14159)*1000</f>
        <v>454.86437625051462</v>
      </c>
      <c r="G42">
        <v>300</v>
      </c>
      <c r="H42" s="4">
        <v>3</v>
      </c>
      <c r="I42" s="4"/>
      <c r="J42" t="s">
        <v>100</v>
      </c>
      <c r="L42" s="5">
        <f>3.14159*G42*E42*H42*7.85/1000000</f>
        <v>53.268800039999995</v>
      </c>
      <c r="M42" s="5">
        <f>G42*G42*1.05*1.05*(K42+H42)*7.85*2/1000000</f>
        <v>4.6734974999999999</v>
      </c>
      <c r="N42" s="5">
        <f t="shared" si="23"/>
        <v>10.653760007999999</v>
      </c>
      <c r="O42" s="8">
        <f>(L42+M42+N42)*E2*2</f>
        <v>27438.423019200003</v>
      </c>
      <c r="P42" s="5">
        <f>(L42+M42+N42)</f>
        <v>68.596057548000005</v>
      </c>
      <c r="Q42">
        <f t="shared" si="31"/>
        <v>312</v>
      </c>
      <c r="R42" s="28">
        <f t="shared" si="25"/>
        <v>380.59605754799998</v>
      </c>
      <c r="S42" s="28">
        <f t="shared" si="30"/>
        <v>380.59605754799998</v>
      </c>
      <c r="T42" s="8" t="s">
        <v>72</v>
      </c>
      <c r="U42" s="20">
        <f>G58*1.2/60</f>
        <v>80</v>
      </c>
      <c r="V42" s="5">
        <f t="shared" si="26"/>
        <v>20.606514749131087</v>
      </c>
      <c r="W42" s="5">
        <f t="shared" si="27"/>
        <v>17.845765256206239</v>
      </c>
      <c r="X42" s="5" t="s">
        <v>84</v>
      </c>
      <c r="Y42" s="4">
        <f>D36*1000*0.8</f>
        <v>15600</v>
      </c>
    </row>
    <row r="43" spans="1:25" ht="15.75" customHeight="1" x14ac:dyDescent="0.25">
      <c r="A43" t="s">
        <v>116</v>
      </c>
      <c r="B43" t="s">
        <v>135</v>
      </c>
      <c r="D43" s="38">
        <f>3.14159*0.019*E43*14/1000</f>
        <v>2.0055910559999997</v>
      </c>
      <c r="E43">
        <v>2400</v>
      </c>
      <c r="J43" t="s">
        <v>100</v>
      </c>
      <c r="O43" s="8">
        <v>400000</v>
      </c>
      <c r="T43" s="8" t="s">
        <v>73</v>
      </c>
      <c r="U43" s="20">
        <f>D34*1000/60</f>
        <v>100</v>
      </c>
      <c r="V43" s="5">
        <f t="shared" ref="V43:V46" si="32">SQRT(U43/1000/60/3.14)*1000</f>
        <v>23.038783879204569</v>
      </c>
      <c r="W43" s="5">
        <f t="shared" ref="W43:W46" si="33">SQRT(U43*3/4/1000/60/3.14)*1000</f>
        <v>19.952172111690555</v>
      </c>
      <c r="X43" s="5" t="s">
        <v>81</v>
      </c>
      <c r="Y43" s="4">
        <f>Y42*0.2</f>
        <v>3120</v>
      </c>
    </row>
    <row r="44" spans="1:25" ht="15.75" customHeight="1" x14ac:dyDescent="0.25">
      <c r="A44" t="s">
        <v>107</v>
      </c>
      <c r="B44" t="s">
        <v>109</v>
      </c>
      <c r="D44" s="38">
        <f>3.14159*0.019*E44*14/1000</f>
        <v>2.5069888200000001</v>
      </c>
      <c r="E44">
        <v>3000</v>
      </c>
      <c r="J44" t="s">
        <v>100</v>
      </c>
      <c r="O44" s="8">
        <v>150000</v>
      </c>
      <c r="T44" s="8" t="s">
        <v>74</v>
      </c>
      <c r="U44" s="20">
        <f>10000/60</f>
        <v>166.66666666666666</v>
      </c>
      <c r="V44" s="5">
        <f t="shared" si="32"/>
        <v>29.742942093677069</v>
      </c>
      <c r="W44" s="5">
        <f t="shared" si="33"/>
        <v>25.75814343641386</v>
      </c>
      <c r="X44" s="5" t="s">
        <v>85</v>
      </c>
    </row>
    <row r="45" spans="1:25" ht="15.75" customHeight="1" x14ac:dyDescent="0.25">
      <c r="A45" t="s">
        <v>111</v>
      </c>
      <c r="B45" t="s">
        <v>152</v>
      </c>
      <c r="D45" s="38">
        <f>3.14159*0.019*E45*10/1000</f>
        <v>1.1938041999999998</v>
      </c>
      <c r="E45">
        <v>2000</v>
      </c>
      <c r="J45" t="s">
        <v>100</v>
      </c>
      <c r="O45" s="8">
        <v>100000</v>
      </c>
      <c r="T45" s="8" t="s">
        <v>75</v>
      </c>
      <c r="U45" s="20">
        <f>D35*1000/60</f>
        <v>300</v>
      </c>
      <c r="V45" s="5">
        <f t="shared" si="32"/>
        <v>39.904344223381109</v>
      </c>
      <c r="W45" s="5">
        <f t="shared" si="33"/>
        <v>34.558175818806852</v>
      </c>
      <c r="X45" s="44" t="s">
        <v>87</v>
      </c>
      <c r="Y45" s="44"/>
    </row>
    <row r="46" spans="1:25" ht="15.75" customHeight="1" x14ac:dyDescent="0.25">
      <c r="A46" t="s">
        <v>112</v>
      </c>
      <c r="B46" t="s">
        <v>153</v>
      </c>
      <c r="D46" s="38">
        <f>3.14159*0.019*E46*10/1000</f>
        <v>1.7907062999999999</v>
      </c>
      <c r="E46">
        <v>3000</v>
      </c>
      <c r="J46" t="s">
        <v>100</v>
      </c>
      <c r="O46" s="8">
        <v>100000</v>
      </c>
      <c r="T46" s="8" t="s">
        <v>76</v>
      </c>
      <c r="U46" s="20">
        <f>10000/60</f>
        <v>166.66666666666666</v>
      </c>
      <c r="V46" s="5">
        <f t="shared" si="32"/>
        <v>29.742942093677069</v>
      </c>
      <c r="W46" s="5">
        <f t="shared" si="33"/>
        <v>25.75814343641386</v>
      </c>
      <c r="X46" s="5" t="s">
        <v>88</v>
      </c>
      <c r="Y46" s="4">
        <f>D36*1000*0.8</f>
        <v>15600</v>
      </c>
    </row>
    <row r="47" spans="1:25" ht="15.75" customHeight="1" x14ac:dyDescent="0.25">
      <c r="A47" t="s">
        <v>139</v>
      </c>
      <c r="B47" t="s">
        <v>140</v>
      </c>
      <c r="D47" s="38"/>
      <c r="O47" s="8">
        <v>300000</v>
      </c>
      <c r="T47" s="8"/>
      <c r="U47" s="20"/>
      <c r="V47" s="5"/>
      <c r="W47" s="5"/>
      <c r="X47" s="5"/>
      <c r="Y47" s="4"/>
    </row>
    <row r="48" spans="1:25" ht="15.75" customHeight="1" x14ac:dyDescent="0.25">
      <c r="A48" t="s">
        <v>63</v>
      </c>
      <c r="B48" t="s">
        <v>90</v>
      </c>
      <c r="D48">
        <v>100</v>
      </c>
      <c r="E48">
        <v>5000</v>
      </c>
      <c r="F48" s="4">
        <f t="shared" ref="F48:F53" si="34">SQRT(D48*4*1000/E48/3.14159)*1000</f>
        <v>5046.2671752405386</v>
      </c>
      <c r="G48">
        <v>5000</v>
      </c>
      <c r="H48" s="4">
        <v>8</v>
      </c>
      <c r="I48" s="4">
        <v>6</v>
      </c>
      <c r="J48" t="s">
        <v>100</v>
      </c>
      <c r="K48" s="5"/>
      <c r="L48" s="5">
        <f t="shared" ref="L48:L53" si="35">3.14159*G48*E48*(H48+I48)*7.85/2000000</f>
        <v>4315.7592624999997</v>
      </c>
      <c r="M48" s="5">
        <f t="shared" ref="M48:M53" si="36">G48*G48*1.05*1.05*(K48+H48)*7.85/1000000</f>
        <v>1730.925</v>
      </c>
      <c r="N48" s="5">
        <f t="shared" ref="N48:N53" si="37">(K48+L48)*0.2</f>
        <v>863.15185250000002</v>
      </c>
      <c r="O48" s="8">
        <f>(L48+M48+N48)*F2*2</f>
        <v>1381967.223</v>
      </c>
      <c r="P48" s="5">
        <f t="shared" ref="P48:P53" si="38">L48+M48+N48</f>
        <v>6909.8361150000001</v>
      </c>
      <c r="Q48">
        <f>D48*900</f>
        <v>90000</v>
      </c>
      <c r="R48" s="28">
        <f t="shared" ref="R48:R53" si="39">P48+Q48</f>
        <v>96909.836114999998</v>
      </c>
      <c r="S48" s="28">
        <f t="shared" ref="S48:S53" si="40">R48</f>
        <v>96909.836114999998</v>
      </c>
      <c r="T48" s="4"/>
      <c r="U48" s="4"/>
      <c r="W48" s="13"/>
    </row>
    <row r="49" spans="1:25" ht="15.75" customHeight="1" x14ac:dyDescent="0.25">
      <c r="A49" t="s">
        <v>64</v>
      </c>
      <c r="B49" t="s">
        <v>91</v>
      </c>
      <c r="D49">
        <v>100</v>
      </c>
      <c r="E49">
        <v>5000</v>
      </c>
      <c r="F49" s="4">
        <f t="shared" si="34"/>
        <v>5046.2671752405386</v>
      </c>
      <c r="G49">
        <v>5000</v>
      </c>
      <c r="H49" s="4">
        <v>8</v>
      </c>
      <c r="I49" s="4">
        <v>6</v>
      </c>
      <c r="J49" t="s">
        <v>100</v>
      </c>
      <c r="K49" s="5"/>
      <c r="L49" s="5">
        <f t="shared" si="35"/>
        <v>4315.7592624999997</v>
      </c>
      <c r="M49" s="5">
        <f t="shared" si="36"/>
        <v>1730.925</v>
      </c>
      <c r="N49" s="5">
        <f t="shared" si="37"/>
        <v>863.15185250000002</v>
      </c>
      <c r="O49" s="8">
        <f>(L49+M49+N49)*F2*2</f>
        <v>1381967.223</v>
      </c>
      <c r="P49" s="5">
        <f t="shared" si="38"/>
        <v>6909.8361150000001</v>
      </c>
      <c r="Q49">
        <f>D49*900</f>
        <v>90000</v>
      </c>
      <c r="R49" s="28">
        <f t="shared" si="39"/>
        <v>96909.836114999998</v>
      </c>
      <c r="S49" s="28">
        <f t="shared" si="40"/>
        <v>96909.836114999998</v>
      </c>
      <c r="T49" s="4"/>
      <c r="U49" s="4"/>
      <c r="W49" s="13"/>
    </row>
    <row r="50" spans="1:25" ht="15.75" customHeight="1" x14ac:dyDescent="0.25">
      <c r="A50" t="s">
        <v>15</v>
      </c>
      <c r="B50" t="s">
        <v>92</v>
      </c>
      <c r="D50">
        <v>25</v>
      </c>
      <c r="E50">
        <v>3000</v>
      </c>
      <c r="F50" s="4">
        <f t="shared" si="34"/>
        <v>3257.3514550366253</v>
      </c>
      <c r="G50">
        <v>3000</v>
      </c>
      <c r="H50" s="4">
        <v>6</v>
      </c>
      <c r="I50" s="4">
        <v>5</v>
      </c>
      <c r="J50" t="s">
        <v>100</v>
      </c>
      <c r="K50" s="5"/>
      <c r="L50" s="5">
        <f t="shared" si="35"/>
        <v>1220.7433342500001</v>
      </c>
      <c r="M50" s="5">
        <f t="shared" si="36"/>
        <v>467.34974999999997</v>
      </c>
      <c r="N50" s="5">
        <f t="shared" si="37"/>
        <v>244.14866685000004</v>
      </c>
      <c r="O50" s="8">
        <f>(L50+M50+N50)*F2*2</f>
        <v>386448.35022000008</v>
      </c>
      <c r="P50" s="5">
        <f t="shared" si="38"/>
        <v>1932.2417511000003</v>
      </c>
      <c r="Q50">
        <f>D50*1500</f>
        <v>37500</v>
      </c>
      <c r="R50" s="28">
        <f t="shared" si="39"/>
        <v>39432.241751100002</v>
      </c>
      <c r="S50" s="28">
        <f t="shared" si="40"/>
        <v>39432.241751100002</v>
      </c>
    </row>
    <row r="51" spans="1:25" ht="15.75" customHeight="1" x14ac:dyDescent="0.25">
      <c r="A51" t="s">
        <v>62</v>
      </c>
      <c r="B51" t="s">
        <v>96</v>
      </c>
      <c r="D51">
        <v>20</v>
      </c>
      <c r="E51">
        <v>3600</v>
      </c>
      <c r="F51" s="4">
        <f t="shared" si="34"/>
        <v>2659.6163259173577</v>
      </c>
      <c r="G51" s="4">
        <v>2500</v>
      </c>
      <c r="H51" s="4">
        <v>6</v>
      </c>
      <c r="I51" s="4"/>
      <c r="J51" s="4"/>
      <c r="K51" s="5"/>
      <c r="L51" s="5">
        <f t="shared" si="35"/>
        <v>665.86000049999984</v>
      </c>
      <c r="M51" s="5">
        <f t="shared" si="36"/>
        <v>324.54843749999998</v>
      </c>
      <c r="N51" s="5">
        <f t="shared" si="37"/>
        <v>133.17200009999996</v>
      </c>
      <c r="O51" s="8">
        <f>(L51+M51+N51)*F2*2</f>
        <v>224716.08761999995</v>
      </c>
      <c r="P51" s="5">
        <f t="shared" si="38"/>
        <v>1123.5804380999998</v>
      </c>
      <c r="Q51">
        <f>D51*1500</f>
        <v>30000</v>
      </c>
      <c r="R51" s="28">
        <f t="shared" si="39"/>
        <v>31123.580438099998</v>
      </c>
      <c r="S51" s="28">
        <f t="shared" si="40"/>
        <v>31123.580438099998</v>
      </c>
    </row>
    <row r="52" spans="1:25" ht="15.75" customHeight="1" x14ac:dyDescent="0.25">
      <c r="A52" t="s">
        <v>61</v>
      </c>
      <c r="B52" t="s">
        <v>93</v>
      </c>
      <c r="D52">
        <v>25</v>
      </c>
      <c r="E52">
        <v>3000</v>
      </c>
      <c r="F52" s="4">
        <f t="shared" si="34"/>
        <v>3257.3514550366253</v>
      </c>
      <c r="G52">
        <v>3000</v>
      </c>
      <c r="H52" s="4">
        <v>6</v>
      </c>
      <c r="I52" s="4">
        <v>5</v>
      </c>
      <c r="J52" t="s">
        <v>100</v>
      </c>
      <c r="K52" s="5"/>
      <c r="L52" s="5">
        <f t="shared" si="35"/>
        <v>1220.7433342500001</v>
      </c>
      <c r="M52" s="5">
        <f t="shared" si="36"/>
        <v>467.34974999999997</v>
      </c>
      <c r="N52" s="5">
        <f t="shared" si="37"/>
        <v>244.14866685000004</v>
      </c>
      <c r="O52" s="8">
        <f>(L52+M52+N52)*F2*2</f>
        <v>386448.35022000008</v>
      </c>
      <c r="P52" s="5">
        <f t="shared" si="38"/>
        <v>1932.2417511000003</v>
      </c>
      <c r="Q52">
        <f>D52*1000</f>
        <v>25000</v>
      </c>
      <c r="R52" s="28">
        <f t="shared" si="39"/>
        <v>26932.241751100002</v>
      </c>
      <c r="S52" s="28">
        <f t="shared" si="40"/>
        <v>26932.241751100002</v>
      </c>
    </row>
    <row r="53" spans="1:25" ht="14.45" customHeight="1" x14ac:dyDescent="0.25">
      <c r="A53" t="s">
        <v>60</v>
      </c>
      <c r="B53" t="s">
        <v>94</v>
      </c>
      <c r="D53">
        <v>20</v>
      </c>
      <c r="E53">
        <v>3000</v>
      </c>
      <c r="F53" s="4">
        <f t="shared" si="34"/>
        <v>2913.4637120278971</v>
      </c>
      <c r="G53">
        <v>3000</v>
      </c>
      <c r="H53" s="4">
        <v>6</v>
      </c>
      <c r="I53" s="4">
        <v>5</v>
      </c>
      <c r="J53" t="s">
        <v>100</v>
      </c>
      <c r="K53" s="5"/>
      <c r="L53" s="5">
        <f t="shared" si="35"/>
        <v>1220.7433342500001</v>
      </c>
      <c r="M53" s="5">
        <f t="shared" si="36"/>
        <v>467.34974999999997</v>
      </c>
      <c r="N53" s="5">
        <f t="shared" si="37"/>
        <v>244.14866685000004</v>
      </c>
      <c r="O53" s="8">
        <f>(L53+M53+N53)*F2*2</f>
        <v>386448.35022000008</v>
      </c>
      <c r="P53" s="5">
        <f t="shared" si="38"/>
        <v>1932.2417511000003</v>
      </c>
      <c r="Q53">
        <f t="shared" ref="Q53" si="41">D53*800</f>
        <v>16000</v>
      </c>
      <c r="R53" s="28">
        <f t="shared" si="39"/>
        <v>17932.241751100002</v>
      </c>
      <c r="S53" s="28">
        <f t="shared" si="40"/>
        <v>17932.241751100002</v>
      </c>
      <c r="T53" s="4"/>
      <c r="U53" s="4"/>
      <c r="W53" s="13"/>
    </row>
    <row r="54" spans="1:25" ht="15.75" customHeight="1" x14ac:dyDescent="0.25">
      <c r="O54" s="8"/>
      <c r="P54" s="8"/>
      <c r="Q54" s="8"/>
      <c r="R54" s="8"/>
      <c r="S54" s="8"/>
    </row>
    <row r="55" spans="1:25" ht="15.6" customHeight="1" x14ac:dyDescent="0.25">
      <c r="A55" t="s">
        <v>16</v>
      </c>
      <c r="E55" t="s">
        <v>18</v>
      </c>
      <c r="F55">
        <f>(D33*3+D36+D38+D38+D39)*40000/500/2</f>
        <v>3977.9999999999995</v>
      </c>
      <c r="G55">
        <v>4000</v>
      </c>
      <c r="N55" t="s">
        <v>13</v>
      </c>
      <c r="O55" s="8">
        <f>SUM(O33:O53)</f>
        <v>15068948.932920799</v>
      </c>
      <c r="P55" s="8"/>
      <c r="Q55" s="8"/>
      <c r="R55" s="8"/>
      <c r="S55" s="8"/>
    </row>
    <row r="56" spans="1:25" ht="15.6" customHeight="1" x14ac:dyDescent="0.25">
      <c r="A56" t="s">
        <v>128</v>
      </c>
      <c r="E56" t="s">
        <v>125</v>
      </c>
      <c r="F56">
        <f>F58/2000</f>
        <v>1.7766666666666666</v>
      </c>
      <c r="G56">
        <v>2</v>
      </c>
      <c r="O56" s="8"/>
      <c r="P56" s="8"/>
      <c r="Q56" s="8"/>
      <c r="R56" s="8"/>
      <c r="S56" s="8"/>
    </row>
    <row r="57" spans="1:25" ht="15.6" customHeight="1" x14ac:dyDescent="0.25">
      <c r="A57" t="s">
        <v>126</v>
      </c>
      <c r="H57" s="5"/>
      <c r="L57" s="5"/>
      <c r="M57" s="5"/>
      <c r="N57" s="5"/>
      <c r="O57" s="8"/>
      <c r="P57" s="5"/>
      <c r="R57" s="5"/>
      <c r="S57" s="5"/>
    </row>
    <row r="58" spans="1:25" ht="15.6" customHeight="1" x14ac:dyDescent="0.25">
      <c r="A58" t="s">
        <v>16</v>
      </c>
      <c r="E58" t="s">
        <v>18</v>
      </c>
      <c r="F58" s="4">
        <f>(D33*2+D36+D38*2+D39)*40000/450/2</f>
        <v>3553.333333333333</v>
      </c>
      <c r="G58">
        <v>4000</v>
      </c>
      <c r="H58" s="5"/>
      <c r="L58" s="5"/>
      <c r="M58" s="5"/>
      <c r="N58" s="5"/>
      <c r="O58" s="8"/>
      <c r="P58" s="5"/>
      <c r="R58" s="5"/>
      <c r="S58" s="5"/>
    </row>
    <row r="59" spans="1:25" ht="15.6" customHeight="1" x14ac:dyDescent="0.25">
      <c r="A59" t="s">
        <v>17</v>
      </c>
      <c r="E59" t="s">
        <v>19</v>
      </c>
      <c r="G59">
        <f>G58*450/3/600</f>
        <v>1000</v>
      </c>
    </row>
    <row r="60" spans="1:25" ht="15.6" customHeight="1" x14ac:dyDescent="0.25">
      <c r="E60" t="s">
        <v>102</v>
      </c>
      <c r="G60" s="4">
        <f>G58/100*7*18</f>
        <v>5040</v>
      </c>
    </row>
    <row r="61" spans="1:25" ht="15.6" customHeight="1" x14ac:dyDescent="0.25">
      <c r="G61" s="4"/>
    </row>
    <row r="62" spans="1:25" ht="15" customHeight="1" x14ac:dyDescent="0.25">
      <c r="A62">
        <v>20</v>
      </c>
      <c r="B62" s="37" t="s">
        <v>157</v>
      </c>
      <c r="C62" t="s">
        <v>103</v>
      </c>
    </row>
    <row r="63" spans="1:25" ht="46.9" customHeight="1" x14ac:dyDescent="0.25">
      <c r="A63" s="33" t="s">
        <v>3</v>
      </c>
      <c r="B63" s="33"/>
      <c r="C63" s="33"/>
      <c r="D63" s="33" t="s">
        <v>2</v>
      </c>
      <c r="E63" s="33" t="s">
        <v>4</v>
      </c>
      <c r="F63" s="33" t="s">
        <v>5</v>
      </c>
      <c r="G63" s="33" t="s">
        <v>6</v>
      </c>
      <c r="H63" s="45" t="s">
        <v>10</v>
      </c>
      <c r="I63" s="46"/>
      <c r="J63" s="33" t="s">
        <v>99</v>
      </c>
      <c r="L63" s="33" t="s">
        <v>131</v>
      </c>
      <c r="M63" s="33" t="s">
        <v>12</v>
      </c>
      <c r="N63" s="33" t="s">
        <v>156</v>
      </c>
      <c r="O63" s="7" t="s">
        <v>11</v>
      </c>
      <c r="P63" s="33" t="s">
        <v>46</v>
      </c>
      <c r="Q63" s="33" t="s">
        <v>48</v>
      </c>
      <c r="R63" s="33" t="s">
        <v>47</v>
      </c>
      <c r="S63" s="33" t="s">
        <v>49</v>
      </c>
      <c r="T63" s="7" t="s">
        <v>42</v>
      </c>
      <c r="U63" s="36" t="s">
        <v>104</v>
      </c>
      <c r="V63" s="36" t="s">
        <v>43</v>
      </c>
      <c r="W63" s="36" t="s">
        <v>44</v>
      </c>
      <c r="X63" s="33" t="s">
        <v>77</v>
      </c>
      <c r="Y63" s="33" t="s">
        <v>78</v>
      </c>
    </row>
    <row r="64" spans="1:25" ht="15.75" customHeight="1" x14ac:dyDescent="0.25">
      <c r="A64" s="3" t="s">
        <v>53</v>
      </c>
      <c r="B64" t="s">
        <v>120</v>
      </c>
      <c r="D64">
        <f>A62*0.65</f>
        <v>13</v>
      </c>
      <c r="E64">
        <v>2400</v>
      </c>
      <c r="F64" s="4">
        <f>SQRT(D64*4*1000/E64/3.14159)*1000</f>
        <v>2626.1607007300586</v>
      </c>
      <c r="G64">
        <v>2650</v>
      </c>
      <c r="H64" s="4">
        <v>10</v>
      </c>
      <c r="I64" s="4"/>
      <c r="J64" t="s">
        <v>100</v>
      </c>
      <c r="L64" s="5">
        <f>3.14159*G64*E64*H64*7.85*1.5/1000000</f>
        <v>2352.7053351</v>
      </c>
      <c r="M64" s="5">
        <f>G64*G64*1.22*1.22*H64*7.85*2/1000000</f>
        <v>1641.0093730000001</v>
      </c>
      <c r="N64" s="5">
        <f t="shared" ref="N64:N73" si="42">(K64+L64)*0.2</f>
        <v>470.54106702000001</v>
      </c>
      <c r="O64" s="8">
        <f>(L64+M64+N64)*E2*1.4</f>
        <v>1249991.6170335999</v>
      </c>
      <c r="P64" s="5">
        <f t="shared" ref="P64:P73" si="43">L64+M64+N64</f>
        <v>4464.2557751200002</v>
      </c>
      <c r="Q64">
        <f>D64*1500</f>
        <v>19500</v>
      </c>
      <c r="R64" s="28">
        <f t="shared" ref="R64:R73" si="44">P64+Q64</f>
        <v>23964.25577512</v>
      </c>
      <c r="S64" s="28">
        <f>R64*1.5</f>
        <v>35946.383662680004</v>
      </c>
      <c r="T64" s="8" t="s">
        <v>50</v>
      </c>
      <c r="U64" s="20">
        <f>G90</f>
        <v>625</v>
      </c>
      <c r="V64" s="5">
        <f>SQRT(U64/1000/60/3.14)*1000</f>
        <v>57.596959698011425</v>
      </c>
      <c r="W64" s="5">
        <f>SQRT(U64*3/4/1000/60/3.14)*1000</f>
        <v>49.880430279226381</v>
      </c>
      <c r="X64" s="47" t="s">
        <v>79</v>
      </c>
      <c r="Y64" s="47"/>
    </row>
    <row r="65" spans="1:25" ht="15.75" customHeight="1" x14ac:dyDescent="0.25">
      <c r="A65" s="3" t="s">
        <v>118</v>
      </c>
      <c r="B65" t="s">
        <v>117</v>
      </c>
      <c r="C65" s="33"/>
      <c r="D65" s="23">
        <f>A62*0.2</f>
        <v>4</v>
      </c>
      <c r="E65" s="23">
        <v>1200</v>
      </c>
      <c r="F65" s="24">
        <f>SQRT(D65*4*1000/E65/3.14159)*1000</f>
        <v>2060.1299475158567</v>
      </c>
      <c r="G65" s="23">
        <v>2000</v>
      </c>
      <c r="H65" s="24">
        <v>6</v>
      </c>
      <c r="I65" s="28"/>
      <c r="J65" t="s">
        <v>100</v>
      </c>
      <c r="L65" s="5">
        <f>3.14159*G65*E65*H65*7.85/1000000</f>
        <v>355.12533359999992</v>
      </c>
      <c r="M65" s="5">
        <f>G65*G65*1.22*1.22*H65*7.85*2/1000000</f>
        <v>560.82911999999999</v>
      </c>
      <c r="N65" s="5">
        <f t="shared" si="42"/>
        <v>71.025066719999984</v>
      </c>
      <c r="O65" s="8">
        <f>(L65+M65+N65)*E2</f>
        <v>197395.90406399997</v>
      </c>
      <c r="P65" s="5">
        <f t="shared" si="43"/>
        <v>986.97952031999989</v>
      </c>
      <c r="Q65">
        <f>D65*1500</f>
        <v>6000</v>
      </c>
      <c r="R65" s="28">
        <f t="shared" si="44"/>
        <v>6986.9795203200001</v>
      </c>
      <c r="S65" s="28">
        <f t="shared" ref="S65:S73" si="45">R65</f>
        <v>6986.9795203200001</v>
      </c>
      <c r="T65" s="8" t="s">
        <v>65</v>
      </c>
      <c r="U65" s="20">
        <f>D64*1000/15</f>
        <v>866.66666666666663</v>
      </c>
      <c r="V65" s="5">
        <f>SQRT(U65/1000/60/3.14)*1000</f>
        <v>67.82434329071458</v>
      </c>
      <c r="W65" s="5">
        <f>SQRT(U65*3/4/1000/60/3.14)*1000</f>
        <v>58.737604284755491</v>
      </c>
      <c r="X65" s="5" t="s">
        <v>80</v>
      </c>
      <c r="Y65" s="4">
        <f>D64*1000*0.8</f>
        <v>10400</v>
      </c>
    </row>
    <row r="66" spans="1:25" ht="15.75" customHeight="1" x14ac:dyDescent="0.25">
      <c r="A66" s="3" t="s">
        <v>52</v>
      </c>
      <c r="B66" t="s">
        <v>95</v>
      </c>
      <c r="C66" s="33"/>
      <c r="D66" s="23">
        <f>A62*0.6</f>
        <v>12</v>
      </c>
      <c r="E66" s="23">
        <v>2400</v>
      </c>
      <c r="F66" s="24">
        <f>SQRT(D66*4*1000/E66/3.14159)*1000</f>
        <v>2523.1335876202693</v>
      </c>
      <c r="G66" s="23">
        <v>2500</v>
      </c>
      <c r="H66" s="24">
        <v>6</v>
      </c>
      <c r="I66" s="28"/>
      <c r="J66" t="s">
        <v>100</v>
      </c>
      <c r="L66" s="5">
        <f>3.14159*G66*E66*H66*7.85*1.5/1000000</f>
        <v>1331.7200009999999</v>
      </c>
      <c r="M66" s="5">
        <f>G66*G66*1.22*1.22*H66*7.85*2/1000000</f>
        <v>876.29549999999995</v>
      </c>
      <c r="N66" s="5">
        <f t="shared" si="42"/>
        <v>266.34400019999998</v>
      </c>
      <c r="O66" s="8">
        <f>(L66+M66+N66)*E2</f>
        <v>494871.90023999993</v>
      </c>
      <c r="P66" s="5">
        <f t="shared" si="43"/>
        <v>2474.3595011999996</v>
      </c>
      <c r="Q66">
        <f>D66*900</f>
        <v>10800</v>
      </c>
      <c r="R66" s="28">
        <f t="shared" si="44"/>
        <v>13274.359501200001</v>
      </c>
      <c r="S66" s="28">
        <f t="shared" si="45"/>
        <v>13274.359501200001</v>
      </c>
      <c r="T66" s="8" t="s">
        <v>66</v>
      </c>
      <c r="U66" s="20">
        <f>D67*1000/15</f>
        <v>866.66666666666663</v>
      </c>
      <c r="V66" s="5">
        <f t="shared" ref="V66:V77" si="46">SQRT(U66/1000/60/3.14)*1000</f>
        <v>67.82434329071458</v>
      </c>
      <c r="W66" s="5">
        <f t="shared" ref="W66:W77" si="47">SQRT(U66*3/4/1000/60/3.14)*1000</f>
        <v>58.737604284755491</v>
      </c>
      <c r="X66" s="5" t="s">
        <v>81</v>
      </c>
      <c r="Y66" s="4">
        <f>D64*1000*0.1</f>
        <v>1300</v>
      </c>
    </row>
    <row r="67" spans="1:25" ht="15.75" customHeight="1" x14ac:dyDescent="0.25">
      <c r="A67" t="s">
        <v>56</v>
      </c>
      <c r="B67" t="s">
        <v>89</v>
      </c>
      <c r="D67">
        <f>A62*0.65</f>
        <v>13</v>
      </c>
      <c r="E67">
        <v>2400</v>
      </c>
      <c r="F67" s="4">
        <f t="shared" ref="F67:F68" si="48">SQRT(D67*4*1000/E67/3.14159)*1000</f>
        <v>2626.1607007300586</v>
      </c>
      <c r="G67">
        <v>2650</v>
      </c>
      <c r="H67" s="4">
        <v>8</v>
      </c>
      <c r="I67" s="4"/>
      <c r="J67" t="s">
        <v>101</v>
      </c>
      <c r="L67" s="5">
        <f>3.14159*G67*E67*H67*8.15/1000000+3.14159*G67*E67*H67*7.85/2000000</f>
        <v>1930.1174978399999</v>
      </c>
      <c r="M67" s="5">
        <f t="shared" ref="M67" si="49">G67*G67*1.22*1.22*H67*8.15*2/1000000</f>
        <v>1362.9784856000001</v>
      </c>
      <c r="N67" s="5">
        <f t="shared" si="42"/>
        <v>386.02349956800003</v>
      </c>
      <c r="O67" s="8">
        <f>(L67+M67+N67)*D2*1.2</f>
        <v>2207471.6898048003</v>
      </c>
      <c r="P67" s="5">
        <f t="shared" si="43"/>
        <v>3679.1194830080003</v>
      </c>
      <c r="Q67">
        <f>D67*1200</f>
        <v>15600</v>
      </c>
      <c r="R67" s="28">
        <f t="shared" si="44"/>
        <v>19279.119483007998</v>
      </c>
      <c r="S67" s="28">
        <f>R67*1.5</f>
        <v>28918.679224511998</v>
      </c>
      <c r="T67" s="8" t="s">
        <v>67</v>
      </c>
      <c r="U67" s="20">
        <f>D68*1000*0.1/60</f>
        <v>21.666666666666668</v>
      </c>
      <c r="V67" s="5">
        <f t="shared" si="46"/>
        <v>10.723970280190894</v>
      </c>
      <c r="W67" s="5">
        <f t="shared" si="47"/>
        <v>9.2872306920746368</v>
      </c>
      <c r="X67" s="5" t="s">
        <v>82</v>
      </c>
      <c r="Y67" s="4">
        <f>D64*1000*0.00625</f>
        <v>81.25</v>
      </c>
    </row>
    <row r="68" spans="1:25" ht="15.75" customHeight="1" x14ac:dyDescent="0.25">
      <c r="A68" t="s">
        <v>54</v>
      </c>
      <c r="B68" t="s">
        <v>141</v>
      </c>
      <c r="D68">
        <f>D67</f>
        <v>13</v>
      </c>
      <c r="E68">
        <v>3600</v>
      </c>
      <c r="F68" s="4">
        <f t="shared" si="48"/>
        <v>2144.2512331128542</v>
      </c>
      <c r="G68">
        <v>2150</v>
      </c>
      <c r="H68" s="4">
        <v>8</v>
      </c>
      <c r="I68" s="4"/>
      <c r="J68" t="s">
        <v>100</v>
      </c>
      <c r="L68" s="5">
        <f>3.14159*G68*E68*H68*7.85/1000000</f>
        <v>1527.0389344799999</v>
      </c>
      <c r="M68" s="5">
        <f>G68*G68*1.22*1.22*H68*7.85*2/1000000</f>
        <v>864.14420239999993</v>
      </c>
      <c r="N68" s="5">
        <f t="shared" si="42"/>
        <v>305.407786896</v>
      </c>
      <c r="O68" s="8">
        <f>(L68+M68+N68)*E2*3*1.25</f>
        <v>2022443.1928319996</v>
      </c>
      <c r="P68" s="5">
        <f t="shared" si="43"/>
        <v>2696.5909237759997</v>
      </c>
      <c r="Q68">
        <f>D68*1200</f>
        <v>15600</v>
      </c>
      <c r="R68" s="28">
        <f t="shared" si="44"/>
        <v>18296.590923775999</v>
      </c>
      <c r="S68" s="28">
        <f t="shared" si="45"/>
        <v>18296.590923775999</v>
      </c>
      <c r="T68" s="8" t="s">
        <v>51</v>
      </c>
      <c r="U68" s="20">
        <f>D68*1000*0.9/60</f>
        <v>195</v>
      </c>
      <c r="V68" s="5">
        <f t="shared" si="46"/>
        <v>32.171910840572679</v>
      </c>
      <c r="W68" s="5">
        <f t="shared" si="47"/>
        <v>27.861692076223914</v>
      </c>
      <c r="X68" s="44" t="s">
        <v>83</v>
      </c>
      <c r="Y68" s="44"/>
    </row>
    <row r="69" spans="1:25" ht="15.75" customHeight="1" x14ac:dyDescent="0.25">
      <c r="A69" t="s">
        <v>57</v>
      </c>
      <c r="B69" t="s">
        <v>142</v>
      </c>
      <c r="D69">
        <f>D67*0.15</f>
        <v>1.95</v>
      </c>
      <c r="E69" s="34">
        <v>2000</v>
      </c>
      <c r="F69" s="4">
        <f>SQRT(D69*4*1000/E69/3.14159)*1000</f>
        <v>1114.1856239831038</v>
      </c>
      <c r="G69">
        <v>1200</v>
      </c>
      <c r="H69" s="4">
        <v>5</v>
      </c>
      <c r="I69" s="4"/>
      <c r="J69" t="s">
        <v>100</v>
      </c>
      <c r="L69" s="5">
        <f>3.14159*G69*E69*H69*7.85*2/1000000</f>
        <v>591.87555599999996</v>
      </c>
      <c r="M69" s="5">
        <f>G69*G69*1.22*1.22*H69*7.85*2/1000000</f>
        <v>168.24873600000001</v>
      </c>
      <c r="N69" s="5">
        <f t="shared" si="42"/>
        <v>118.37511119999999</v>
      </c>
      <c r="O69" s="8">
        <f>(L69+M69+N69)*E2*2</f>
        <v>351399.76127999998</v>
      </c>
      <c r="P69" s="5">
        <f t="shared" si="43"/>
        <v>878.49940319999996</v>
      </c>
      <c r="Q69">
        <f>D69*1000</f>
        <v>1950</v>
      </c>
      <c r="R69" s="28">
        <f t="shared" si="44"/>
        <v>2828.4994032</v>
      </c>
      <c r="S69" s="28">
        <f t="shared" si="45"/>
        <v>2828.4994032</v>
      </c>
      <c r="T69" s="8" t="s">
        <v>68</v>
      </c>
      <c r="U69" s="20">
        <f>U68</f>
        <v>195</v>
      </c>
      <c r="V69" s="5">
        <f t="shared" si="46"/>
        <v>32.171910840572679</v>
      </c>
      <c r="W69" s="5">
        <f t="shared" si="47"/>
        <v>27.861692076223914</v>
      </c>
      <c r="X69" s="5" t="s">
        <v>84</v>
      </c>
      <c r="Y69" s="4">
        <f>D67*1000*0.8</f>
        <v>10400</v>
      </c>
    </row>
    <row r="70" spans="1:25" ht="15.75" customHeight="1" x14ac:dyDescent="0.25">
      <c r="A70" t="s">
        <v>55</v>
      </c>
      <c r="B70" t="s">
        <v>97</v>
      </c>
      <c r="D70">
        <f>D67*0.8</f>
        <v>10.4</v>
      </c>
      <c r="E70" s="34">
        <v>2500</v>
      </c>
      <c r="F70" s="4">
        <f>SQRT(D70*4*1000/E70/3.14159)*1000</f>
        <v>2301.4519286774826</v>
      </c>
      <c r="G70">
        <v>2300</v>
      </c>
      <c r="H70" s="4">
        <v>5</v>
      </c>
      <c r="I70" s="4"/>
      <c r="J70" t="s">
        <v>100</v>
      </c>
      <c r="L70" s="5">
        <f>3.14159*G70*E70*H70*7.85*2/1000000</f>
        <v>1418.0351862499999</v>
      </c>
      <c r="M70" s="5">
        <f>G70*G70*1.22*1.22*H70*7.85*2/1000000</f>
        <v>618.08042599999999</v>
      </c>
      <c r="N70" s="5">
        <f t="shared" si="42"/>
        <v>283.60703725000002</v>
      </c>
      <c r="O70" s="8">
        <f>(L70+M70+N70)*E2*1.4</f>
        <v>649522.34186000004</v>
      </c>
      <c r="P70" s="5">
        <f t="shared" si="43"/>
        <v>2319.7226495</v>
      </c>
      <c r="Q70">
        <f>D70*1200</f>
        <v>12480</v>
      </c>
      <c r="R70" s="28">
        <f t="shared" si="44"/>
        <v>14799.7226495</v>
      </c>
      <c r="S70" s="28">
        <f t="shared" si="45"/>
        <v>14799.7226495</v>
      </c>
      <c r="T70" s="8" t="s">
        <v>69</v>
      </c>
      <c r="U70" s="20">
        <f>D69*1000/60</f>
        <v>32.5</v>
      </c>
      <c r="V70" s="5">
        <f t="shared" si="46"/>
        <v>13.134127601619619</v>
      </c>
      <c r="W70" s="5">
        <f t="shared" si="47"/>
        <v>11.374488159548971</v>
      </c>
      <c r="X70" s="5" t="s">
        <v>81</v>
      </c>
      <c r="Y70" s="4"/>
    </row>
    <row r="71" spans="1:25" ht="15.75" customHeight="1" x14ac:dyDescent="0.25">
      <c r="A71" t="s">
        <v>110</v>
      </c>
      <c r="B71" t="s">
        <v>143</v>
      </c>
      <c r="E71" s="34">
        <v>3000</v>
      </c>
      <c r="F71" s="4">
        <v>300</v>
      </c>
      <c r="G71">
        <v>300</v>
      </c>
      <c r="H71" s="4">
        <v>3</v>
      </c>
      <c r="I71" s="4"/>
      <c r="J71" t="s">
        <v>100</v>
      </c>
      <c r="L71" s="5">
        <f>3.14159*G71*E71*H71*7.85/1000000</f>
        <v>66.586000049999996</v>
      </c>
      <c r="M71" s="5">
        <f>G71*G71*1.22*1.22*H71*7.85*2/1000000</f>
        <v>6.3093275999999996</v>
      </c>
      <c r="N71" s="5">
        <f t="shared" si="42"/>
        <v>13.317200010000001</v>
      </c>
      <c r="O71" s="8">
        <f>(L71+M71+N71)*E2*3*5</f>
        <v>258637.58298000004</v>
      </c>
      <c r="P71" s="5">
        <f t="shared" si="43"/>
        <v>86.212527660000006</v>
      </c>
      <c r="Q71">
        <v>100</v>
      </c>
      <c r="R71" s="28">
        <f t="shared" si="44"/>
        <v>186.21252766000001</v>
      </c>
      <c r="S71" s="28">
        <f t="shared" si="45"/>
        <v>186.21252766000001</v>
      </c>
      <c r="T71" s="8" t="s">
        <v>70</v>
      </c>
      <c r="U71" s="20">
        <f>D70*1000/60</f>
        <v>173.33333333333334</v>
      </c>
      <c r="V71" s="5">
        <f t="shared" si="46"/>
        <v>30.331968425463927</v>
      </c>
      <c r="W71" s="5">
        <f t="shared" si="47"/>
        <v>26.268255203239239</v>
      </c>
      <c r="X71" s="5" t="s">
        <v>85</v>
      </c>
      <c r="Y71" s="4">
        <f>Y67*L69/2/L65</f>
        <v>67.708333333333343</v>
      </c>
    </row>
    <row r="72" spans="1:25" ht="15.75" customHeight="1" x14ac:dyDescent="0.25">
      <c r="A72" t="s">
        <v>58</v>
      </c>
      <c r="B72" t="s">
        <v>137</v>
      </c>
      <c r="D72">
        <f>D64*0.01</f>
        <v>0.13</v>
      </c>
      <c r="E72">
        <v>2400</v>
      </c>
      <c r="F72" s="4">
        <f>SQRT(D72*4*1000/E72/3.14159)*1000</f>
        <v>262.61607007300586</v>
      </c>
      <c r="G72">
        <v>300</v>
      </c>
      <c r="H72" s="4">
        <v>3</v>
      </c>
      <c r="I72" s="4"/>
      <c r="J72" t="s">
        <v>106</v>
      </c>
      <c r="L72" s="5">
        <f>3.14159*G72*E72*H72*8.15/1000000</f>
        <v>55.30455036</v>
      </c>
      <c r="M72" s="5">
        <f>G72*G72*1.05*1.05*(K72+H72)*8.15*2/1000000</f>
        <v>4.8521025</v>
      </c>
      <c r="N72" s="5">
        <f t="shared" si="42"/>
        <v>11.060910072</v>
      </c>
      <c r="O72" s="8">
        <f>(L72+M72+N72)*D2*2</f>
        <v>71217.562932000001</v>
      </c>
      <c r="P72" s="5">
        <f t="shared" si="43"/>
        <v>71.217562932000007</v>
      </c>
      <c r="Q72">
        <f t="shared" ref="Q72:Q73" si="50">D72*800</f>
        <v>104</v>
      </c>
      <c r="R72" s="28">
        <f t="shared" si="44"/>
        <v>175.21756293200002</v>
      </c>
      <c r="S72" s="28">
        <f t="shared" si="45"/>
        <v>175.21756293200002</v>
      </c>
      <c r="T72" s="8" t="s">
        <v>71</v>
      </c>
      <c r="U72" s="20">
        <f>10000/60</f>
        <v>166.66666666666666</v>
      </c>
      <c r="V72" s="5">
        <f t="shared" si="46"/>
        <v>29.742942093677069</v>
      </c>
      <c r="W72" s="5">
        <f t="shared" si="47"/>
        <v>25.75814343641386</v>
      </c>
      <c r="X72" s="44" t="s">
        <v>86</v>
      </c>
      <c r="Y72" s="44"/>
    </row>
    <row r="73" spans="1:25" ht="15.75" customHeight="1" x14ac:dyDescent="0.25">
      <c r="A73" t="s">
        <v>59</v>
      </c>
      <c r="B73" t="s">
        <v>144</v>
      </c>
      <c r="D73">
        <f>D67*0.02</f>
        <v>0.26</v>
      </c>
      <c r="E73">
        <v>2400</v>
      </c>
      <c r="F73" s="4">
        <f>SQRT(D73*4*1000/E73/3.14159)*1000</f>
        <v>371.39520799436792</v>
      </c>
      <c r="G73">
        <v>300</v>
      </c>
      <c r="H73" s="4">
        <v>3</v>
      </c>
      <c r="I73" s="4"/>
      <c r="J73" t="s">
        <v>100</v>
      </c>
      <c r="L73" s="5">
        <f>3.14159*G73*E73*H73*7.85/1000000</f>
        <v>53.268800039999995</v>
      </c>
      <c r="M73" s="5">
        <f>G73*G73*1.05*1.05*(K73+H73)*7.85*2/1000000</f>
        <v>4.6734974999999999</v>
      </c>
      <c r="N73" s="5">
        <f t="shared" si="42"/>
        <v>10.653760007999999</v>
      </c>
      <c r="O73" s="8">
        <f>(L73+M73+N73)*E2*2</f>
        <v>27438.423019200003</v>
      </c>
      <c r="P73" s="5">
        <f t="shared" si="43"/>
        <v>68.596057548000005</v>
      </c>
      <c r="Q73">
        <f t="shared" si="50"/>
        <v>208</v>
      </c>
      <c r="R73" s="28">
        <f t="shared" si="44"/>
        <v>276.59605754799998</v>
      </c>
      <c r="S73" s="28">
        <f t="shared" si="45"/>
        <v>276.59605754799998</v>
      </c>
      <c r="T73" s="8" t="s">
        <v>72</v>
      </c>
      <c r="U73" s="20">
        <f>G89*1.2/60</f>
        <v>50</v>
      </c>
      <c r="V73" s="5">
        <f t="shared" si="46"/>
        <v>16.290880311276865</v>
      </c>
      <c r="W73" s="5">
        <f t="shared" si="47"/>
        <v>14.108316199577509</v>
      </c>
      <c r="X73" s="5" t="s">
        <v>84</v>
      </c>
      <c r="Y73" s="4">
        <f>D67*1000*0.8</f>
        <v>10400</v>
      </c>
    </row>
    <row r="74" spans="1:25" ht="15.75" customHeight="1" x14ac:dyDescent="0.25">
      <c r="A74" t="s">
        <v>116</v>
      </c>
      <c r="B74" t="s">
        <v>135</v>
      </c>
      <c r="C74" s="5"/>
      <c r="D74" s="38">
        <f t="shared" ref="D74:D75" si="51">3.14159*0.019*E74*14/1000</f>
        <v>2.0055910559999997</v>
      </c>
      <c r="E74">
        <v>2400</v>
      </c>
      <c r="J74" t="s">
        <v>100</v>
      </c>
      <c r="O74" s="8">
        <v>400000</v>
      </c>
      <c r="T74" s="8" t="s">
        <v>73</v>
      </c>
      <c r="U74" s="20">
        <f>D65*1000/60</f>
        <v>66.666666666666671</v>
      </c>
      <c r="V74" s="5">
        <f t="shared" si="46"/>
        <v>18.811088266103344</v>
      </c>
      <c r="W74" s="5">
        <f t="shared" si="47"/>
        <v>16.290880311276865</v>
      </c>
      <c r="X74" s="5" t="s">
        <v>81</v>
      </c>
      <c r="Y74" s="4">
        <f>Y73*0.2</f>
        <v>2080</v>
      </c>
    </row>
    <row r="75" spans="1:25" ht="15.75" customHeight="1" x14ac:dyDescent="0.25">
      <c r="A75" t="s">
        <v>107</v>
      </c>
      <c r="B75" t="s">
        <v>109</v>
      </c>
      <c r="D75" s="38">
        <f t="shared" si="51"/>
        <v>2.5069888200000001</v>
      </c>
      <c r="E75">
        <v>3000</v>
      </c>
      <c r="J75" t="s">
        <v>100</v>
      </c>
      <c r="O75" s="8">
        <v>150000</v>
      </c>
      <c r="T75" s="8" t="s">
        <v>74</v>
      </c>
      <c r="U75" s="20">
        <f>10000/60</f>
        <v>166.66666666666666</v>
      </c>
      <c r="V75" s="5">
        <f t="shared" si="46"/>
        <v>29.742942093677069</v>
      </c>
      <c r="W75" s="5">
        <f t="shared" si="47"/>
        <v>25.75814343641386</v>
      </c>
      <c r="X75" s="5" t="s">
        <v>85</v>
      </c>
    </row>
    <row r="76" spans="1:25" ht="15.75" customHeight="1" x14ac:dyDescent="0.25">
      <c r="A76" t="s">
        <v>111</v>
      </c>
      <c r="B76" t="s">
        <v>152</v>
      </c>
      <c r="D76" s="38">
        <f>3.14159*0.019*E76*10/1000</f>
        <v>1.1938041999999998</v>
      </c>
      <c r="E76">
        <v>2000</v>
      </c>
      <c r="J76" t="s">
        <v>100</v>
      </c>
      <c r="O76" s="8">
        <v>100000</v>
      </c>
      <c r="T76" s="8" t="s">
        <v>75</v>
      </c>
      <c r="U76" s="20">
        <f>D66*1000/60</f>
        <v>200</v>
      </c>
      <c r="V76" s="5">
        <f t="shared" si="46"/>
        <v>32.58176062255373</v>
      </c>
      <c r="W76" s="5">
        <f t="shared" si="47"/>
        <v>28.216632399155017</v>
      </c>
      <c r="X76" s="44" t="s">
        <v>87</v>
      </c>
      <c r="Y76" s="44"/>
    </row>
    <row r="77" spans="1:25" ht="15.75" customHeight="1" x14ac:dyDescent="0.25">
      <c r="A77" t="s">
        <v>112</v>
      </c>
      <c r="B77" t="s">
        <v>153</v>
      </c>
      <c r="D77" s="38">
        <f>3.14159*0.019*E77*10/1000</f>
        <v>1.4922552499999997</v>
      </c>
      <c r="E77">
        <v>2500</v>
      </c>
      <c r="J77" t="s">
        <v>100</v>
      </c>
      <c r="O77" s="8">
        <v>100000</v>
      </c>
      <c r="T77" s="8" t="s">
        <v>76</v>
      </c>
      <c r="U77" s="20">
        <f>10000/60</f>
        <v>166.66666666666666</v>
      </c>
      <c r="V77" s="5">
        <f t="shared" si="46"/>
        <v>29.742942093677069</v>
      </c>
      <c r="W77" s="5">
        <f t="shared" si="47"/>
        <v>25.75814343641386</v>
      </c>
      <c r="X77" s="5" t="s">
        <v>88</v>
      </c>
      <c r="Y77" s="4">
        <f>D67*1000*0.8</f>
        <v>10400</v>
      </c>
    </row>
    <row r="78" spans="1:25" ht="15.75" customHeight="1" x14ac:dyDescent="0.25">
      <c r="A78" t="s">
        <v>139</v>
      </c>
      <c r="B78" t="s">
        <v>145</v>
      </c>
      <c r="D78" s="38"/>
      <c r="O78" s="8">
        <v>300000</v>
      </c>
      <c r="T78" s="8"/>
      <c r="U78" s="20"/>
      <c r="V78" s="5"/>
      <c r="W78" s="5"/>
      <c r="X78" s="5"/>
      <c r="Y78" s="4"/>
    </row>
    <row r="79" spans="1:25" ht="15.75" customHeight="1" x14ac:dyDescent="0.25">
      <c r="A79" t="s">
        <v>63</v>
      </c>
      <c r="B79" t="s">
        <v>90</v>
      </c>
      <c r="D79">
        <v>100</v>
      </c>
      <c r="E79">
        <v>5000</v>
      </c>
      <c r="F79" s="4">
        <f t="shared" ref="F79:F84" si="52">SQRT(D79*4*1000/E79/3.14159)*1000</f>
        <v>5046.2671752405386</v>
      </c>
      <c r="G79">
        <v>5000</v>
      </c>
      <c r="H79" s="4">
        <v>8</v>
      </c>
      <c r="I79" s="4">
        <v>6</v>
      </c>
      <c r="J79" t="s">
        <v>100</v>
      </c>
      <c r="K79" s="5"/>
      <c r="L79" s="5">
        <f t="shared" ref="L79:L84" si="53">3.14159*G79*E79*(H79+I79)*7.85/2000000</f>
        <v>4315.7592624999997</v>
      </c>
      <c r="M79" s="5">
        <f t="shared" ref="M79:M84" si="54">G79*G79*1.05*1.05*(I79+H79)*7.85/1000000</f>
        <v>3029.1187500000001</v>
      </c>
      <c r="N79" s="5">
        <f t="shared" ref="N79:N84" si="55">(K79+L79)*0.2</f>
        <v>863.15185250000002</v>
      </c>
      <c r="O79" s="8">
        <f>(L79+M79+N79)*F2*2</f>
        <v>1641605.9729999998</v>
      </c>
      <c r="P79" s="5">
        <f t="shared" ref="P79:P84" si="56">L79+M79+N79</f>
        <v>8208.0298649999986</v>
      </c>
      <c r="Q79">
        <f>D79*900</f>
        <v>90000</v>
      </c>
      <c r="R79" s="28">
        <f t="shared" ref="R79:R84" si="57">P79+Q79</f>
        <v>98208.029865000004</v>
      </c>
      <c r="S79" s="28">
        <f>R79</f>
        <v>98208.029865000004</v>
      </c>
      <c r="T79" s="4"/>
      <c r="U79" s="4"/>
      <c r="W79" s="13"/>
    </row>
    <row r="80" spans="1:25" ht="15.75" customHeight="1" x14ac:dyDescent="0.25">
      <c r="A80" t="s">
        <v>64</v>
      </c>
      <c r="B80" t="s">
        <v>91</v>
      </c>
      <c r="D80">
        <v>100</v>
      </c>
      <c r="E80">
        <v>5000</v>
      </c>
      <c r="F80" s="4">
        <f t="shared" si="52"/>
        <v>5046.2671752405386</v>
      </c>
      <c r="G80">
        <v>5000</v>
      </c>
      <c r="H80" s="4">
        <v>8</v>
      </c>
      <c r="I80" s="4">
        <v>6</v>
      </c>
      <c r="J80" t="s">
        <v>100</v>
      </c>
      <c r="K80" s="5"/>
      <c r="L80" s="5">
        <f t="shared" si="53"/>
        <v>4315.7592624999997</v>
      </c>
      <c r="M80" s="5">
        <f t="shared" si="54"/>
        <v>3029.1187500000001</v>
      </c>
      <c r="N80" s="5">
        <f t="shared" si="55"/>
        <v>863.15185250000002</v>
      </c>
      <c r="O80" s="8">
        <f>(L80+M80+N80)*F2*2</f>
        <v>1641605.9729999998</v>
      </c>
      <c r="P80" s="5">
        <f t="shared" si="56"/>
        <v>8208.0298649999986</v>
      </c>
      <c r="Q80">
        <f>D80*900</f>
        <v>90000</v>
      </c>
      <c r="R80" s="28">
        <f t="shared" si="57"/>
        <v>98208.029865000004</v>
      </c>
      <c r="S80" s="28">
        <f t="shared" ref="S80:S84" si="58">R80</f>
        <v>98208.029865000004</v>
      </c>
      <c r="T80" s="4"/>
      <c r="U80" s="4"/>
      <c r="W80" s="13"/>
    </row>
    <row r="81" spans="1:31" ht="15.75" customHeight="1" x14ac:dyDescent="0.25">
      <c r="A81" t="s">
        <v>15</v>
      </c>
      <c r="B81" t="s">
        <v>92</v>
      </c>
      <c r="D81">
        <v>25</v>
      </c>
      <c r="E81">
        <v>3000</v>
      </c>
      <c r="F81" s="4">
        <f t="shared" si="52"/>
        <v>3257.3514550366253</v>
      </c>
      <c r="G81">
        <v>3000</v>
      </c>
      <c r="H81" s="4">
        <v>6</v>
      </c>
      <c r="I81" s="4">
        <v>5</v>
      </c>
      <c r="J81" t="s">
        <v>100</v>
      </c>
      <c r="K81" s="5"/>
      <c r="L81" s="5">
        <f t="shared" si="53"/>
        <v>1220.7433342500001</v>
      </c>
      <c r="M81" s="5">
        <f t="shared" si="54"/>
        <v>856.80787499999997</v>
      </c>
      <c r="N81" s="5">
        <f t="shared" si="55"/>
        <v>244.14866685000004</v>
      </c>
      <c r="O81" s="8">
        <f>(L81+M81+N81)*F2*2</f>
        <v>464339.97522000008</v>
      </c>
      <c r="P81" s="5">
        <f t="shared" si="56"/>
        <v>2321.6998761000004</v>
      </c>
      <c r="Q81">
        <f>D81*1500</f>
        <v>37500</v>
      </c>
      <c r="R81" s="28">
        <f t="shared" si="57"/>
        <v>39821.6998761</v>
      </c>
      <c r="S81" s="28">
        <f t="shared" si="58"/>
        <v>39821.6998761</v>
      </c>
    </row>
    <row r="82" spans="1:31" ht="15.75" customHeight="1" x14ac:dyDescent="0.25">
      <c r="A82" t="s">
        <v>62</v>
      </c>
      <c r="B82" t="s">
        <v>96</v>
      </c>
      <c r="D82">
        <v>20</v>
      </c>
      <c r="E82">
        <v>3600</v>
      </c>
      <c r="F82" s="4">
        <f t="shared" si="52"/>
        <v>2659.6163259173577</v>
      </c>
      <c r="G82" s="4">
        <v>2500</v>
      </c>
      <c r="H82" s="4">
        <v>6</v>
      </c>
      <c r="I82" s="4"/>
      <c r="J82" s="4"/>
      <c r="K82" s="5"/>
      <c r="L82" s="5">
        <f t="shared" si="53"/>
        <v>665.86000049999984</v>
      </c>
      <c r="M82" s="5">
        <f t="shared" ref="M82" si="59">G82*G82*1.05*1.05*(K82+H82)*7.85/1000000</f>
        <v>324.54843749999998</v>
      </c>
      <c r="N82" s="5">
        <f t="shared" si="55"/>
        <v>133.17200009999996</v>
      </c>
      <c r="O82" s="8">
        <f>(L82+M82+N82)*F2*2</f>
        <v>224716.08761999995</v>
      </c>
      <c r="P82" s="5">
        <f t="shared" si="56"/>
        <v>1123.5804380999998</v>
      </c>
      <c r="Q82">
        <f>D82*1500</f>
        <v>30000</v>
      </c>
      <c r="R82" s="28">
        <f t="shared" si="57"/>
        <v>31123.580438099998</v>
      </c>
      <c r="S82" s="28">
        <f t="shared" si="58"/>
        <v>31123.580438099998</v>
      </c>
    </row>
    <row r="83" spans="1:31" ht="15.75" customHeight="1" x14ac:dyDescent="0.25">
      <c r="A83" t="s">
        <v>61</v>
      </c>
      <c r="B83" t="s">
        <v>93</v>
      </c>
      <c r="D83">
        <v>25</v>
      </c>
      <c r="E83">
        <v>3000</v>
      </c>
      <c r="F83" s="4">
        <f t="shared" si="52"/>
        <v>3257.3514550366253</v>
      </c>
      <c r="G83">
        <v>3000</v>
      </c>
      <c r="H83" s="4">
        <v>6</v>
      </c>
      <c r="I83" s="4">
        <v>5</v>
      </c>
      <c r="J83" t="s">
        <v>100</v>
      </c>
      <c r="K83" s="5"/>
      <c r="L83" s="5">
        <f t="shared" si="53"/>
        <v>1220.7433342500001</v>
      </c>
      <c r="M83" s="5">
        <f t="shared" si="54"/>
        <v>856.80787499999997</v>
      </c>
      <c r="N83" s="5">
        <f t="shared" si="55"/>
        <v>244.14866685000004</v>
      </c>
      <c r="O83" s="8">
        <f>(L83+M83+N83)*F2*2</f>
        <v>464339.97522000008</v>
      </c>
      <c r="P83" s="5">
        <f t="shared" si="56"/>
        <v>2321.6998761000004</v>
      </c>
      <c r="Q83">
        <f>D83*1000</f>
        <v>25000</v>
      </c>
      <c r="R83" s="28">
        <f t="shared" si="57"/>
        <v>27321.6998761</v>
      </c>
      <c r="S83" s="28">
        <f t="shared" si="58"/>
        <v>27321.6998761</v>
      </c>
    </row>
    <row r="84" spans="1:31" ht="15.75" customHeight="1" x14ac:dyDescent="0.25">
      <c r="A84" t="s">
        <v>60</v>
      </c>
      <c r="B84" t="s">
        <v>94</v>
      </c>
      <c r="D84">
        <v>20</v>
      </c>
      <c r="E84">
        <v>3000</v>
      </c>
      <c r="F84" s="4">
        <f t="shared" si="52"/>
        <v>2913.4637120278971</v>
      </c>
      <c r="G84">
        <v>3000</v>
      </c>
      <c r="H84" s="4">
        <v>6</v>
      </c>
      <c r="I84" s="4">
        <v>5</v>
      </c>
      <c r="J84" t="s">
        <v>100</v>
      </c>
      <c r="K84" s="5"/>
      <c r="L84" s="5">
        <f t="shared" si="53"/>
        <v>1220.7433342500001</v>
      </c>
      <c r="M84" s="5">
        <f t="shared" si="54"/>
        <v>856.80787499999997</v>
      </c>
      <c r="N84" s="5">
        <f t="shared" si="55"/>
        <v>244.14866685000004</v>
      </c>
      <c r="O84" s="8">
        <f>(L84+M84+N84)*F2*2</f>
        <v>464339.97522000008</v>
      </c>
      <c r="P84" s="5">
        <f t="shared" si="56"/>
        <v>2321.6998761000004</v>
      </c>
      <c r="Q84">
        <f t="shared" ref="Q84" si="60">D84*800</f>
        <v>16000</v>
      </c>
      <c r="R84" s="28">
        <f t="shared" si="57"/>
        <v>18321.6998761</v>
      </c>
      <c r="S84" s="28">
        <f t="shared" si="58"/>
        <v>18321.6998761</v>
      </c>
      <c r="T84" s="4"/>
      <c r="U84" s="4"/>
      <c r="W84" s="13"/>
    </row>
    <row r="85" spans="1:31" ht="15.75" customHeight="1" x14ac:dyDescent="0.25">
      <c r="H85" s="4"/>
      <c r="I85" s="4"/>
      <c r="K85" s="5"/>
      <c r="L85" s="5"/>
      <c r="M85" s="5"/>
      <c r="N85" s="5"/>
      <c r="O85" s="8"/>
      <c r="P85" s="5"/>
      <c r="R85" s="28"/>
      <c r="S85" s="28"/>
      <c r="T85" s="4"/>
      <c r="U85" s="4"/>
      <c r="W85" s="13"/>
    </row>
    <row r="86" spans="1:31" ht="15.75" customHeight="1" x14ac:dyDescent="0.25">
      <c r="N86" t="s">
        <v>13</v>
      </c>
      <c r="O86" s="8">
        <f>SUM(O64:O84)</f>
        <v>13481337.935325598</v>
      </c>
      <c r="P86" s="8"/>
      <c r="Q86" s="8"/>
      <c r="R86" s="8"/>
      <c r="S86" s="8"/>
      <c r="T86" s="4"/>
      <c r="U86" s="4"/>
      <c r="W86" s="13"/>
    </row>
    <row r="87" spans="1:31" ht="15.75" customHeight="1" x14ac:dyDescent="0.25">
      <c r="A87" t="s">
        <v>128</v>
      </c>
      <c r="E87" t="s">
        <v>127</v>
      </c>
      <c r="F87">
        <f>F89/2000</f>
        <v>1.2277777777777779</v>
      </c>
      <c r="G87">
        <v>1.5</v>
      </c>
      <c r="O87" s="8"/>
      <c r="P87" s="8"/>
      <c r="Q87" s="8"/>
      <c r="R87" s="8"/>
      <c r="S87" s="8"/>
      <c r="T87" s="4"/>
      <c r="U87" s="4"/>
      <c r="W87" s="13"/>
    </row>
    <row r="88" spans="1:31" ht="15.75" customHeight="1" x14ac:dyDescent="0.25">
      <c r="A88" t="s">
        <v>126</v>
      </c>
      <c r="H88" s="5"/>
      <c r="L88" s="5"/>
      <c r="M88" s="5"/>
      <c r="N88" s="5"/>
      <c r="O88" s="8"/>
      <c r="P88" s="5"/>
      <c r="R88" s="5"/>
      <c r="S88" s="5"/>
      <c r="T88" s="4"/>
      <c r="U88" s="4"/>
      <c r="W88" s="13"/>
    </row>
    <row r="89" spans="1:31" ht="15.75" customHeight="1" x14ac:dyDescent="0.25">
      <c r="A89" t="s">
        <v>16</v>
      </c>
      <c r="E89" t="s">
        <v>18</v>
      </c>
      <c r="F89" s="4">
        <f>(D64*2+D67+D69+D69*2+D70)*40000/450/2</f>
        <v>2455.5555555555557</v>
      </c>
      <c r="G89">
        <v>2500</v>
      </c>
      <c r="H89" s="5"/>
      <c r="L89" s="5"/>
      <c r="M89" s="5"/>
      <c r="N89" s="5"/>
      <c r="O89" s="8"/>
      <c r="P89" s="5"/>
      <c r="R89" s="5"/>
      <c r="S89" s="5"/>
      <c r="T89" s="4"/>
      <c r="U89" s="4"/>
      <c r="W89" s="13"/>
    </row>
    <row r="90" spans="1:31" ht="15.75" customHeight="1" x14ac:dyDescent="0.25">
      <c r="A90" t="s">
        <v>17</v>
      </c>
      <c r="E90" t="s">
        <v>19</v>
      </c>
      <c r="G90">
        <f>G89*450/3/600</f>
        <v>625</v>
      </c>
      <c r="H90" s="5"/>
      <c r="L90" s="5"/>
      <c r="M90" s="5"/>
      <c r="N90" s="5"/>
      <c r="O90" s="8"/>
      <c r="P90" s="5"/>
      <c r="R90" s="5"/>
      <c r="S90" s="5"/>
      <c r="T90" s="4"/>
      <c r="U90" s="4"/>
      <c r="W90" s="13"/>
    </row>
    <row r="91" spans="1:31" ht="15.75" customHeight="1" x14ac:dyDescent="0.25">
      <c r="E91" t="s">
        <v>102</v>
      </c>
      <c r="G91" s="4">
        <f>G89/100*7*18</f>
        <v>3150</v>
      </c>
      <c r="H91" s="5"/>
      <c r="L91" s="5"/>
      <c r="M91" s="5"/>
      <c r="N91" s="5"/>
      <c r="O91" s="8"/>
      <c r="P91" s="5"/>
      <c r="R91" s="5"/>
      <c r="S91" s="5"/>
      <c r="T91" s="4"/>
      <c r="U91" s="4"/>
      <c r="W91" s="13"/>
    </row>
    <row r="92" spans="1:31" ht="15.75" customHeight="1" x14ac:dyDescent="0.25">
      <c r="G92" s="4"/>
      <c r="H92" s="5"/>
      <c r="L92" s="5"/>
      <c r="M92" s="5"/>
      <c r="N92" s="5"/>
      <c r="O92" s="8"/>
      <c r="P92" s="5"/>
      <c r="R92" s="5"/>
      <c r="S92" s="5"/>
      <c r="T92" s="4"/>
      <c r="U92" s="4"/>
      <c r="W92" s="13"/>
    </row>
    <row r="93" spans="1:31" x14ac:dyDescent="0.25">
      <c r="A93">
        <v>10</v>
      </c>
      <c r="B93" s="1" t="s">
        <v>157</v>
      </c>
      <c r="C93" t="s">
        <v>103</v>
      </c>
    </row>
    <row r="94" spans="1:31" ht="45" x14ac:dyDescent="0.25">
      <c r="A94" s="6" t="s">
        <v>3</v>
      </c>
      <c r="B94" s="6"/>
      <c r="C94" s="6"/>
      <c r="D94" s="6" t="s">
        <v>2</v>
      </c>
      <c r="E94" s="6" t="s">
        <v>4</v>
      </c>
      <c r="F94" s="6" t="s">
        <v>5</v>
      </c>
      <c r="G94" s="6" t="s">
        <v>6</v>
      </c>
      <c r="H94" s="45" t="s">
        <v>10</v>
      </c>
      <c r="I94" s="46"/>
      <c r="J94" s="31" t="s">
        <v>99</v>
      </c>
      <c r="L94" s="9" t="s">
        <v>138</v>
      </c>
      <c r="M94" s="9" t="s">
        <v>12</v>
      </c>
      <c r="N94" s="9" t="s">
        <v>156</v>
      </c>
      <c r="O94" s="7" t="s">
        <v>11</v>
      </c>
      <c r="P94" s="27" t="s">
        <v>46</v>
      </c>
      <c r="Q94" s="27" t="s">
        <v>48</v>
      </c>
      <c r="R94" s="27" t="s">
        <v>47</v>
      </c>
      <c r="S94" s="27" t="s">
        <v>49</v>
      </c>
      <c r="T94" s="7" t="s">
        <v>42</v>
      </c>
      <c r="U94" s="36" t="s">
        <v>104</v>
      </c>
      <c r="V94" s="36" t="s">
        <v>43</v>
      </c>
      <c r="W94" s="36" t="s">
        <v>44</v>
      </c>
      <c r="X94" s="22" t="s">
        <v>77</v>
      </c>
      <c r="Y94" s="22" t="s">
        <v>78</v>
      </c>
      <c r="Z94" s="18"/>
      <c r="AB94" s="19"/>
      <c r="AC94" s="19"/>
      <c r="AD94" s="19"/>
      <c r="AE94" s="19"/>
    </row>
    <row r="95" spans="1:31" x14ac:dyDescent="0.25">
      <c r="A95" s="3" t="s">
        <v>53</v>
      </c>
      <c r="B95" t="s">
        <v>120</v>
      </c>
      <c r="D95" s="5">
        <f>A93*0.65</f>
        <v>6.5</v>
      </c>
      <c r="E95">
        <v>2400</v>
      </c>
      <c r="F95" s="4">
        <f>SQRT(D95*4*1000/E95/3.14159)*1000</f>
        <v>1856.9760399718398</v>
      </c>
      <c r="G95">
        <v>1850</v>
      </c>
      <c r="H95" s="4">
        <v>10</v>
      </c>
      <c r="I95" s="4"/>
      <c r="J95" t="s">
        <v>100</v>
      </c>
      <c r="L95" s="5">
        <f>3.14159*G95*E95*H95*1.5*7.85/1000000</f>
        <v>1642.4546678999998</v>
      </c>
      <c r="M95" s="5">
        <f>G95*G95*1.22*1.22*H95*7.85*2/1000000</f>
        <v>799.76569300000006</v>
      </c>
      <c r="N95" s="5">
        <f t="shared" ref="N95:N104" si="61">(K95+L95)*0.2</f>
        <v>328.49093357999999</v>
      </c>
      <c r="O95" s="8">
        <f>(L95+M95+N95)*E2*1.4</f>
        <v>775799.16245439998</v>
      </c>
      <c r="P95" s="5">
        <f t="shared" ref="P95" si="62">L95+M95+N95</f>
        <v>2770.7112944799997</v>
      </c>
      <c r="Q95">
        <f>D95*1500</f>
        <v>9750</v>
      </c>
      <c r="R95" s="28">
        <f t="shared" ref="R95" si="63">P95+Q95</f>
        <v>12520.711294479999</v>
      </c>
      <c r="S95" s="28">
        <f>R95</f>
        <v>12520.711294479999</v>
      </c>
      <c r="T95" s="8" t="s">
        <v>50</v>
      </c>
      <c r="U95" s="20">
        <f>G118</f>
        <v>375</v>
      </c>
      <c r="V95" s="5">
        <f>SQRT(U95/1000/60/3.14)*1000</f>
        <v>44.614413140515602</v>
      </c>
      <c r="W95" s="5">
        <f>SQRT(U95*3/4/1000/60/3.14)*1000</f>
        <v>38.63721515462079</v>
      </c>
      <c r="X95" s="47" t="s">
        <v>79</v>
      </c>
      <c r="Y95" s="47"/>
      <c r="Z95" s="21"/>
      <c r="AB95" s="21"/>
      <c r="AC95" s="21"/>
      <c r="AD95" s="21"/>
      <c r="AE95" s="21"/>
    </row>
    <row r="96" spans="1:31" x14ac:dyDescent="0.25">
      <c r="A96" s="3" t="s">
        <v>118</v>
      </c>
      <c r="B96" t="s">
        <v>117</v>
      </c>
      <c r="C96" s="21"/>
      <c r="D96" s="23">
        <f>A93*0.2</f>
        <v>2</v>
      </c>
      <c r="E96" s="23">
        <v>1200</v>
      </c>
      <c r="F96" s="24">
        <f>SQRT(D96*4*1000/E96/3.14159)*1000</f>
        <v>1456.7318560139486</v>
      </c>
      <c r="G96" s="23">
        <v>1500</v>
      </c>
      <c r="H96" s="24">
        <v>6</v>
      </c>
      <c r="I96" s="28"/>
      <c r="J96" t="s">
        <v>100</v>
      </c>
      <c r="L96" s="5">
        <f>3.14159*G96*E96*H96*7.85/1000000</f>
        <v>266.34400019999998</v>
      </c>
      <c r="M96" s="5">
        <f>G96*G96*1.22*1.22*H96*7.85*2/1000000</f>
        <v>315.46638000000002</v>
      </c>
      <c r="N96" s="5">
        <f t="shared" si="61"/>
        <v>53.268800040000002</v>
      </c>
      <c r="O96" s="8">
        <f>(L96+M96+N96)*E2</f>
        <v>127015.83604800001</v>
      </c>
      <c r="P96" s="5">
        <f t="shared" ref="P96:P104" si="64">L96+M96+N96</f>
        <v>635.07918024000003</v>
      </c>
      <c r="Q96">
        <f>D96*1500</f>
        <v>3000</v>
      </c>
      <c r="R96" s="28">
        <f t="shared" ref="R96:R104" si="65">P96+Q96</f>
        <v>3635.0791802399999</v>
      </c>
      <c r="S96" s="28">
        <f t="shared" ref="S96:S104" si="66">R96</f>
        <v>3635.0791802399999</v>
      </c>
      <c r="T96" s="8" t="s">
        <v>65</v>
      </c>
      <c r="U96" s="20">
        <f>D95*1000/15</f>
        <v>433.33333333333331</v>
      </c>
      <c r="V96" s="5">
        <f>SQRT(U96/1000/60/3.14)*1000</f>
        <v>47.959053070388606</v>
      </c>
      <c r="W96" s="5">
        <f>SQRT(U96*3/4/1000/60/3.14)*1000</f>
        <v>41.533758300402617</v>
      </c>
      <c r="X96" s="5" t="s">
        <v>80</v>
      </c>
      <c r="Y96" s="4">
        <f>D95*1000*0.8</f>
        <v>5200</v>
      </c>
      <c r="Z96" s="5"/>
      <c r="AB96" s="5"/>
      <c r="AD96" s="5"/>
    </row>
    <row r="97" spans="1:30" x14ac:dyDescent="0.25">
      <c r="A97" s="3" t="s">
        <v>52</v>
      </c>
      <c r="B97" t="s">
        <v>95</v>
      </c>
      <c r="C97" s="21"/>
      <c r="D97" s="23">
        <f>A93*0.6</f>
        <v>6</v>
      </c>
      <c r="E97" s="23">
        <v>1800</v>
      </c>
      <c r="F97" s="24">
        <f>SQRT(D97*4*1000/E97/3.14159)*1000</f>
        <v>2060.1299475158567</v>
      </c>
      <c r="G97" s="23">
        <v>2100</v>
      </c>
      <c r="H97" s="24">
        <v>6</v>
      </c>
      <c r="I97" s="28"/>
      <c r="J97" t="s">
        <v>100</v>
      </c>
      <c r="L97" s="5">
        <f>3.14159*G97*E97*H97*7.85*1.5/1000000</f>
        <v>838.98360062999973</v>
      </c>
      <c r="M97" s="5">
        <f>G97*G97*1.22*1.22*H97*7.85*2/1000000</f>
        <v>618.3141048</v>
      </c>
      <c r="N97" s="5">
        <f t="shared" si="61"/>
        <v>167.79672012599997</v>
      </c>
      <c r="O97" s="8">
        <f>(L97+M97+N97)*E2</f>
        <v>325018.88511119998</v>
      </c>
      <c r="P97" s="5">
        <f t="shared" si="64"/>
        <v>1625.0944255559998</v>
      </c>
      <c r="Q97">
        <f>D97*900</f>
        <v>5400</v>
      </c>
      <c r="R97" s="28">
        <f t="shared" si="65"/>
        <v>7025.0944255559998</v>
      </c>
      <c r="S97" s="28">
        <f t="shared" si="66"/>
        <v>7025.0944255559998</v>
      </c>
      <c r="T97" s="8" t="s">
        <v>66</v>
      </c>
      <c r="U97" s="20">
        <f>D98*1000/15</f>
        <v>433.33333333333331</v>
      </c>
      <c r="V97" s="5">
        <f t="shared" ref="V97:V108" si="67">SQRT(U97/1000/60/3.14)*1000</f>
        <v>47.959053070388606</v>
      </c>
      <c r="W97" s="5">
        <f t="shared" ref="W97:W108" si="68">SQRT(U97*3/4/1000/60/3.14)*1000</f>
        <v>41.533758300402617</v>
      </c>
      <c r="X97" s="5" t="s">
        <v>81</v>
      </c>
      <c r="Y97" s="4">
        <f>D95*1000*0.1</f>
        <v>650</v>
      </c>
      <c r="Z97" s="5"/>
      <c r="AB97" s="5"/>
      <c r="AD97" s="5"/>
    </row>
    <row r="98" spans="1:30" x14ac:dyDescent="0.25">
      <c r="A98" t="s">
        <v>56</v>
      </c>
      <c r="B98" t="s">
        <v>89</v>
      </c>
      <c r="D98">
        <f>A93*0.65</f>
        <v>6.5</v>
      </c>
      <c r="E98">
        <v>2400</v>
      </c>
      <c r="F98" s="4">
        <f t="shared" ref="F98" si="69">SQRT(D98*4*1000/E98/3.14159)*1000</f>
        <v>1856.9760399718398</v>
      </c>
      <c r="G98">
        <v>1850</v>
      </c>
      <c r="H98" s="4">
        <v>8</v>
      </c>
      <c r="I98" s="4"/>
      <c r="J98" t="s">
        <v>101</v>
      </c>
      <c r="L98" s="5">
        <f>3.14159*G98*E98*H98*8.15/1000000+3.14159*G98*E98*H98*7.85/2000000</f>
        <v>1347.4405173600001</v>
      </c>
      <c r="M98" s="5">
        <f t="shared" ref="M98" si="70">G98*G98*1.22*1.22*H98*8.15*2/1000000</f>
        <v>664.26398960000006</v>
      </c>
      <c r="N98" s="5">
        <f t="shared" si="61"/>
        <v>269.48810347200003</v>
      </c>
      <c r="O98" s="8">
        <f>(L98+M98+N98)*D2*1.2</f>
        <v>1368715.5662592</v>
      </c>
      <c r="P98" s="5">
        <f t="shared" si="64"/>
        <v>2281.192610432</v>
      </c>
      <c r="Q98">
        <f>D98*1200</f>
        <v>7800</v>
      </c>
      <c r="R98" s="28">
        <f t="shared" si="65"/>
        <v>10081.192610432001</v>
      </c>
      <c r="S98" s="28">
        <f t="shared" si="66"/>
        <v>10081.192610432001</v>
      </c>
      <c r="T98" s="8" t="s">
        <v>67</v>
      </c>
      <c r="U98" s="20">
        <f>D99*1000*0.1/60</f>
        <v>10.833333333333334</v>
      </c>
      <c r="V98" s="5">
        <f t="shared" si="67"/>
        <v>7.5829921063659818</v>
      </c>
      <c r="W98" s="5">
        <f t="shared" si="68"/>
        <v>6.5670638008098097</v>
      </c>
      <c r="X98" s="5" t="s">
        <v>82</v>
      </c>
      <c r="Y98" s="4">
        <f>D95*1000*0.00625</f>
        <v>40.625</v>
      </c>
      <c r="Z98" s="5"/>
      <c r="AB98" s="5"/>
      <c r="AD98" s="5"/>
    </row>
    <row r="99" spans="1:30" x14ac:dyDescent="0.25">
      <c r="A99" t="s">
        <v>54</v>
      </c>
      <c r="B99" t="s">
        <v>141</v>
      </c>
      <c r="D99">
        <f>A93*0.65</f>
        <v>6.5</v>
      </c>
      <c r="E99">
        <v>2400</v>
      </c>
      <c r="F99" s="4">
        <f t="shared" ref="F99" si="71">SQRT(D99*4*1000/E99/3.14159)*1000</f>
        <v>1856.9760399718398</v>
      </c>
      <c r="G99">
        <v>1850</v>
      </c>
      <c r="H99" s="4">
        <v>8</v>
      </c>
      <c r="I99" s="4"/>
      <c r="J99" t="s">
        <v>100</v>
      </c>
      <c r="L99" s="5">
        <f>3.14159*G99*E99*H99*7.85/1000000</f>
        <v>875.97582288000001</v>
      </c>
      <c r="M99" s="5">
        <f>G99*G99*1.22*1.22*H99*7.85*2/1000000</f>
        <v>639.81255439999995</v>
      </c>
      <c r="N99" s="5">
        <f t="shared" si="61"/>
        <v>175.19516457600002</v>
      </c>
      <c r="O99" s="8">
        <f>(L99+M99+N99)*E2*3*1.25</f>
        <v>1268237.6563920001</v>
      </c>
      <c r="P99" s="5">
        <f t="shared" si="64"/>
        <v>1690.9835418560001</v>
      </c>
      <c r="Q99">
        <f>D99*1200</f>
        <v>7800</v>
      </c>
      <c r="R99" s="28">
        <f t="shared" si="65"/>
        <v>9490.9835418559996</v>
      </c>
      <c r="S99" s="28">
        <f t="shared" si="66"/>
        <v>9490.9835418559996</v>
      </c>
      <c r="T99" s="8" t="s">
        <v>51</v>
      </c>
      <c r="U99" s="20">
        <f>D99*1000*0.9/60</f>
        <v>97.5</v>
      </c>
      <c r="V99" s="5">
        <f t="shared" si="67"/>
        <v>22.748976319097942</v>
      </c>
      <c r="W99" s="5">
        <f t="shared" si="68"/>
        <v>19.701191402429426</v>
      </c>
      <c r="X99" s="44" t="s">
        <v>83</v>
      </c>
      <c r="Y99" s="44"/>
      <c r="Z99" s="5"/>
      <c r="AB99" s="5"/>
      <c r="AD99" s="5"/>
    </row>
    <row r="100" spans="1:30" x14ac:dyDescent="0.25">
      <c r="A100" t="s">
        <v>57</v>
      </c>
      <c r="B100" t="s">
        <v>146</v>
      </c>
      <c r="D100">
        <f>D98*0.15</f>
        <v>0.97499999999999998</v>
      </c>
      <c r="E100" s="34">
        <v>2000</v>
      </c>
      <c r="F100" s="4">
        <f>SQRT(D100*4*1000/E100/3.14159)*1000</f>
        <v>787.84821021901757</v>
      </c>
      <c r="G100">
        <v>800</v>
      </c>
      <c r="H100" s="4">
        <v>5</v>
      </c>
      <c r="I100" s="4"/>
      <c r="J100" t="s">
        <v>100</v>
      </c>
      <c r="L100" s="5">
        <f>3.14159*G100*E100*H100*7.85*2/1000000</f>
        <v>394.58370400000001</v>
      </c>
      <c r="M100" s="5">
        <f>G100*G100*1.22*1.22*H100*7.85*2/1000000</f>
        <v>74.777215999999996</v>
      </c>
      <c r="N100" s="5">
        <f t="shared" si="61"/>
        <v>78.916740800000014</v>
      </c>
      <c r="O100" s="8">
        <f>(L100+M100+N100)*E2*2</f>
        <v>219311.06432</v>
      </c>
      <c r="P100" s="5">
        <f t="shared" si="64"/>
        <v>548.27766080000004</v>
      </c>
      <c r="Q100">
        <f>D100*1000</f>
        <v>975</v>
      </c>
      <c r="R100" s="28">
        <f t="shared" si="65"/>
        <v>1523.2776607999999</v>
      </c>
      <c r="S100" s="28">
        <f t="shared" si="66"/>
        <v>1523.2776607999999</v>
      </c>
      <c r="T100" s="8" t="s">
        <v>68</v>
      </c>
      <c r="U100" s="20">
        <f>U99</f>
        <v>97.5</v>
      </c>
      <c r="V100" s="5">
        <f t="shared" si="67"/>
        <v>22.748976319097942</v>
      </c>
      <c r="W100" s="5">
        <f t="shared" si="68"/>
        <v>19.701191402429426</v>
      </c>
      <c r="X100" s="5" t="s">
        <v>84</v>
      </c>
      <c r="Y100" s="4">
        <f>D98*1000*0.8</f>
        <v>5200</v>
      </c>
      <c r="Z100" s="5"/>
      <c r="AB100" s="5"/>
      <c r="AD100" s="5"/>
    </row>
    <row r="101" spans="1:30" x14ac:dyDescent="0.25">
      <c r="A101" t="s">
        <v>55</v>
      </c>
      <c r="B101" t="s">
        <v>97</v>
      </c>
      <c r="D101">
        <f>D98*0.8</f>
        <v>5.2</v>
      </c>
      <c r="E101" s="34">
        <v>2500</v>
      </c>
      <c r="F101" s="4">
        <f>SQRT(D101*4*1000/E101/3.14159)*1000</f>
        <v>1627.3722653427064</v>
      </c>
      <c r="G101">
        <v>1700</v>
      </c>
      <c r="H101" s="4">
        <v>5</v>
      </c>
      <c r="I101" s="4"/>
      <c r="J101" t="s">
        <v>100</v>
      </c>
      <c r="L101" s="5">
        <f>3.14159*G101*E101*H101*7.85*2/1000000</f>
        <v>1048.1129637499998</v>
      </c>
      <c r="M101" s="5">
        <f>G101*G101*1.22*1.22*H101*7.85*2/1000000</f>
        <v>337.66586599999999</v>
      </c>
      <c r="N101" s="5">
        <f t="shared" si="61"/>
        <v>209.62259274999997</v>
      </c>
      <c r="O101" s="8">
        <f>(L101+M101+N101)*E2*1.4</f>
        <v>446712.39829999988</v>
      </c>
      <c r="P101" s="5">
        <f t="shared" si="64"/>
        <v>1595.4014224999999</v>
      </c>
      <c r="Q101">
        <f>D101*1200</f>
        <v>6240</v>
      </c>
      <c r="R101" s="28">
        <f t="shared" si="65"/>
        <v>7835.4014225000001</v>
      </c>
      <c r="S101" s="28">
        <f t="shared" si="66"/>
        <v>7835.4014225000001</v>
      </c>
      <c r="T101" s="8" t="s">
        <v>69</v>
      </c>
      <c r="U101" s="20">
        <f>D100*1000/60</f>
        <v>16.25</v>
      </c>
      <c r="V101" s="5">
        <f t="shared" si="67"/>
        <v>9.2872306920746368</v>
      </c>
      <c r="W101" s="5">
        <f t="shared" si="68"/>
        <v>8.0429777101431696</v>
      </c>
      <c r="X101" s="5" t="s">
        <v>81</v>
      </c>
      <c r="Y101" s="4"/>
      <c r="Z101" s="5"/>
      <c r="AB101" s="5"/>
      <c r="AD101" s="5"/>
    </row>
    <row r="102" spans="1:30" x14ac:dyDescent="0.25">
      <c r="A102" t="s">
        <v>110</v>
      </c>
      <c r="B102" t="s">
        <v>132</v>
      </c>
      <c r="E102" s="34">
        <v>3000</v>
      </c>
      <c r="F102" s="4">
        <v>300</v>
      </c>
      <c r="G102">
        <v>300</v>
      </c>
      <c r="H102" s="4">
        <v>3</v>
      </c>
      <c r="I102" s="4"/>
      <c r="J102" t="s">
        <v>100</v>
      </c>
      <c r="L102" s="5">
        <f>3.14159*G102*E102*H102*7.85/1000000</f>
        <v>66.586000049999996</v>
      </c>
      <c r="M102" s="5">
        <f>G102*G102*1.22*1.22*H102*7.85*2/1000000</f>
        <v>6.3093275999999996</v>
      </c>
      <c r="N102" s="5">
        <f t="shared" si="61"/>
        <v>13.317200010000001</v>
      </c>
      <c r="O102" s="8">
        <f>(L102+M102+N102)*E2*3*5</f>
        <v>258637.58298000004</v>
      </c>
      <c r="P102" s="5">
        <f t="shared" si="64"/>
        <v>86.212527660000006</v>
      </c>
      <c r="Q102">
        <v>100</v>
      </c>
      <c r="R102" s="28">
        <f t="shared" si="65"/>
        <v>186.21252766000001</v>
      </c>
      <c r="S102" s="28">
        <f t="shared" si="66"/>
        <v>186.21252766000001</v>
      </c>
      <c r="T102" s="8" t="s">
        <v>70</v>
      </c>
      <c r="U102" s="20">
        <f>D101*1000/60</f>
        <v>86.666666666666671</v>
      </c>
      <c r="V102" s="5">
        <f t="shared" si="67"/>
        <v>21.447940560381788</v>
      </c>
      <c r="W102" s="5">
        <f t="shared" si="68"/>
        <v>18.574461384149274</v>
      </c>
      <c r="X102" s="5" t="s">
        <v>85</v>
      </c>
      <c r="Y102" s="4">
        <f>Y98*L100/2/L96</f>
        <v>30.092592592592595</v>
      </c>
      <c r="Z102" s="5"/>
      <c r="AB102" s="5"/>
      <c r="AD102" s="5"/>
    </row>
    <row r="103" spans="1:30" x14ac:dyDescent="0.25">
      <c r="A103" t="s">
        <v>58</v>
      </c>
      <c r="B103" t="s">
        <v>137</v>
      </c>
      <c r="D103">
        <f>D95*0.01</f>
        <v>6.5000000000000002E-2</v>
      </c>
      <c r="E103">
        <v>2400</v>
      </c>
      <c r="F103" s="4">
        <f>SQRT(D103*4*1000/E103/3.14159)*1000</f>
        <v>185.69760399718396</v>
      </c>
      <c r="G103">
        <v>300</v>
      </c>
      <c r="H103" s="4">
        <v>3</v>
      </c>
      <c r="I103" s="4"/>
      <c r="J103" t="s">
        <v>106</v>
      </c>
      <c r="L103" s="5">
        <f>3.14159*G103*E103*H103*8.15/1000000</f>
        <v>55.30455036</v>
      </c>
      <c r="M103" s="5">
        <f>G103*G103*1.05*1.05*H103*8.15*2/2000000</f>
        <v>2.42605125</v>
      </c>
      <c r="N103" s="5">
        <f t="shared" si="61"/>
        <v>11.060910072</v>
      </c>
      <c r="O103" s="8">
        <f>(L103+M103+N103)*D2*2</f>
        <v>68791.511682000011</v>
      </c>
      <c r="P103" s="5">
        <f t="shared" si="64"/>
        <v>68.791511682000007</v>
      </c>
      <c r="Q103">
        <f t="shared" ref="Q103:Q104" si="72">D103*800</f>
        <v>52</v>
      </c>
      <c r="R103" s="28">
        <f t="shared" si="65"/>
        <v>120.79151168200001</v>
      </c>
      <c r="S103" s="28">
        <f t="shared" si="66"/>
        <v>120.79151168200001</v>
      </c>
      <c r="T103" s="8" t="s">
        <v>71</v>
      </c>
      <c r="U103" s="20">
        <f>10000/60</f>
        <v>166.66666666666666</v>
      </c>
      <c r="V103" s="5">
        <f t="shared" si="67"/>
        <v>29.742942093677069</v>
      </c>
      <c r="W103" s="5">
        <f t="shared" si="68"/>
        <v>25.75814343641386</v>
      </c>
      <c r="X103" s="44" t="s">
        <v>86</v>
      </c>
      <c r="Y103" s="44"/>
      <c r="Z103" s="5"/>
      <c r="AB103" s="5"/>
      <c r="AD103" s="5"/>
    </row>
    <row r="104" spans="1:30" x14ac:dyDescent="0.25">
      <c r="A104" t="s">
        <v>59</v>
      </c>
      <c r="B104" t="s">
        <v>134</v>
      </c>
      <c r="D104">
        <f>D98*0.02</f>
        <v>0.13</v>
      </c>
      <c r="E104">
        <v>2400</v>
      </c>
      <c r="F104" s="4">
        <f>SQRT(D104*4*1000/E104/3.14159)*1000</f>
        <v>262.61607007300586</v>
      </c>
      <c r="G104">
        <v>300</v>
      </c>
      <c r="H104" s="4">
        <v>3</v>
      </c>
      <c r="I104" s="4"/>
      <c r="J104" t="s">
        <v>100</v>
      </c>
      <c r="L104" s="5">
        <f>3.14159*G104*E104*H104*7.85/1000000</f>
        <v>53.268800039999995</v>
      </c>
      <c r="M104" s="5">
        <f>G104*G104*1.05*1.05*H104*7.85*2/2000000</f>
        <v>2.3367487499999999</v>
      </c>
      <c r="N104" s="5">
        <f t="shared" si="61"/>
        <v>10.653760007999999</v>
      </c>
      <c r="O104" s="8">
        <f>(L104+M104+N104)*E2*2</f>
        <v>26503.723519199997</v>
      </c>
      <c r="P104" s="5">
        <f t="shared" si="64"/>
        <v>66.259308797999992</v>
      </c>
      <c r="Q104">
        <f t="shared" si="72"/>
        <v>104</v>
      </c>
      <c r="R104" s="28">
        <f t="shared" si="65"/>
        <v>170.25930879800001</v>
      </c>
      <c r="S104" s="28">
        <f t="shared" si="66"/>
        <v>170.25930879800001</v>
      </c>
      <c r="T104" s="8" t="s">
        <v>72</v>
      </c>
      <c r="U104" s="20">
        <f>G117*1.2/60</f>
        <v>30</v>
      </c>
      <c r="V104" s="5">
        <f t="shared" si="67"/>
        <v>12.618861628126719</v>
      </c>
      <c r="W104" s="5">
        <f t="shared" si="68"/>
        <v>10.928254736798401</v>
      </c>
      <c r="X104" s="5" t="s">
        <v>84</v>
      </c>
      <c r="Y104" s="4">
        <f>D98*1000*0.8</f>
        <v>5200</v>
      </c>
      <c r="Z104" s="5"/>
      <c r="AB104" s="5"/>
      <c r="AD104" s="5"/>
    </row>
    <row r="105" spans="1:30" x14ac:dyDescent="0.25">
      <c r="A105" t="s">
        <v>116</v>
      </c>
      <c r="B105" t="s">
        <v>135</v>
      </c>
      <c r="D105" s="38">
        <f>3.14159*0.019*E105*14/1000</f>
        <v>1.5041932919999998</v>
      </c>
      <c r="E105">
        <v>1800</v>
      </c>
      <c r="J105" t="s">
        <v>100</v>
      </c>
      <c r="O105" s="8">
        <v>300000</v>
      </c>
      <c r="T105" s="8" t="s">
        <v>73</v>
      </c>
      <c r="U105" s="20">
        <f>D96*1000/60</f>
        <v>33.333333333333336</v>
      </c>
      <c r="V105" s="5">
        <f t="shared" si="67"/>
        <v>13.301448074460369</v>
      </c>
      <c r="W105" s="5">
        <f t="shared" si="68"/>
        <v>11.519391939602285</v>
      </c>
      <c r="X105" s="5" t="s">
        <v>81</v>
      </c>
      <c r="Y105" s="4">
        <f>Y104*0.2</f>
        <v>1040</v>
      </c>
      <c r="Z105" s="5"/>
      <c r="AB105" s="5"/>
      <c r="AD105" s="5"/>
    </row>
    <row r="106" spans="1:30" x14ac:dyDescent="0.25">
      <c r="A106" t="s">
        <v>107</v>
      </c>
      <c r="B106" t="s">
        <v>109</v>
      </c>
      <c r="D106" s="39">
        <f>3.14159*0.019*E106*14/1000</f>
        <v>2.0055910559999997</v>
      </c>
      <c r="E106">
        <v>2400</v>
      </c>
      <c r="J106" t="s">
        <v>100</v>
      </c>
      <c r="O106" s="8">
        <v>150000</v>
      </c>
      <c r="T106" s="8" t="s">
        <v>74</v>
      </c>
      <c r="U106" s="20">
        <f>10000/60</f>
        <v>166.66666666666666</v>
      </c>
      <c r="V106" s="5">
        <f t="shared" si="67"/>
        <v>29.742942093677069</v>
      </c>
      <c r="W106" s="5">
        <f t="shared" si="68"/>
        <v>25.75814343641386</v>
      </c>
      <c r="X106" s="5" t="s">
        <v>85</v>
      </c>
      <c r="Z106" s="5"/>
      <c r="AB106" s="5"/>
      <c r="AD106" s="5"/>
    </row>
    <row r="107" spans="1:30" x14ac:dyDescent="0.25">
      <c r="A107" t="s">
        <v>111</v>
      </c>
      <c r="B107" t="s">
        <v>152</v>
      </c>
      <c r="D107" s="39">
        <f>3.14159*0.019*E107*10/1000</f>
        <v>1.1938041999999998</v>
      </c>
      <c r="E107">
        <v>2000</v>
      </c>
      <c r="J107" t="s">
        <v>100</v>
      </c>
      <c r="O107" s="8">
        <v>100000</v>
      </c>
      <c r="T107" s="8" t="s">
        <v>75</v>
      </c>
      <c r="U107" s="20">
        <f>D97*1000/60</f>
        <v>100</v>
      </c>
      <c r="V107" s="5">
        <f t="shared" si="67"/>
        <v>23.038783879204569</v>
      </c>
      <c r="W107" s="5">
        <f t="shared" si="68"/>
        <v>19.952172111690555</v>
      </c>
      <c r="X107" s="44" t="s">
        <v>87</v>
      </c>
      <c r="Y107" s="44"/>
      <c r="Z107" s="5"/>
      <c r="AB107" s="5"/>
      <c r="AD107" s="5"/>
    </row>
    <row r="108" spans="1:30" x14ac:dyDescent="0.25">
      <c r="A108" t="s">
        <v>112</v>
      </c>
      <c r="B108" t="s">
        <v>153</v>
      </c>
      <c r="D108" s="39">
        <f>3.14159*0.019*E108*10/1000</f>
        <v>1.4922552499999997</v>
      </c>
      <c r="E108">
        <v>2500</v>
      </c>
      <c r="J108" t="s">
        <v>100</v>
      </c>
      <c r="O108" s="8">
        <v>100000</v>
      </c>
      <c r="T108" s="8" t="s">
        <v>76</v>
      </c>
      <c r="U108" s="20">
        <f>10000/60</f>
        <v>166.66666666666666</v>
      </c>
      <c r="V108" s="5">
        <f t="shared" si="67"/>
        <v>29.742942093677069</v>
      </c>
      <c r="W108" s="5">
        <f t="shared" si="68"/>
        <v>25.75814343641386</v>
      </c>
      <c r="X108" s="5" t="s">
        <v>88</v>
      </c>
      <c r="Y108" s="4">
        <f>D98*1000*0.8</f>
        <v>5200</v>
      </c>
      <c r="Z108" s="5"/>
      <c r="AB108" s="5"/>
      <c r="AD108" s="5"/>
    </row>
    <row r="109" spans="1:30" x14ac:dyDescent="0.25">
      <c r="A109" t="s">
        <v>63</v>
      </c>
      <c r="B109" t="s">
        <v>90</v>
      </c>
      <c r="D109">
        <v>100</v>
      </c>
      <c r="E109">
        <v>5000</v>
      </c>
      <c r="F109" s="4">
        <f>SQRT(D109*4*1000/E109/3.14159)*1000</f>
        <v>5046.2671752405386</v>
      </c>
      <c r="G109">
        <v>5000</v>
      </c>
      <c r="H109" s="4">
        <v>8</v>
      </c>
      <c r="I109" s="4">
        <v>6</v>
      </c>
      <c r="J109" t="s">
        <v>100</v>
      </c>
      <c r="K109" s="5"/>
      <c r="L109" s="5">
        <f t="shared" ref="L109:L114" si="73">3.14159*G109*E109*(H109+I109)*7.85/2000000</f>
        <v>4315.7592624999997</v>
      </c>
      <c r="M109" s="5">
        <f>G109*G109*1.05*1.05*(K109+H109)*7.85*2/2000000</f>
        <v>1730.925</v>
      </c>
      <c r="N109" s="5">
        <f t="shared" ref="N109:N114" si="74">(K109+L109)*0.2</f>
        <v>863.15185250000002</v>
      </c>
      <c r="O109" s="8">
        <f>(L109+M109+N109)*F2*2</f>
        <v>1381967.223</v>
      </c>
      <c r="P109" s="5">
        <f t="shared" ref="P109:P114" si="75">L109+M109+N109</f>
        <v>6909.8361150000001</v>
      </c>
      <c r="Q109">
        <f>D109*900</f>
        <v>90000</v>
      </c>
      <c r="R109" s="28">
        <f t="shared" ref="R109:R114" si="76">P109+Q109</f>
        <v>96909.836114999998</v>
      </c>
      <c r="S109" s="28">
        <f>R109</f>
        <v>96909.836114999998</v>
      </c>
      <c r="T109" s="4"/>
      <c r="U109" s="4"/>
      <c r="W109" s="13"/>
      <c r="Y109" s="5"/>
      <c r="Z109" s="5"/>
      <c r="AB109" s="5"/>
      <c r="AD109" s="5"/>
    </row>
    <row r="110" spans="1:30" x14ac:dyDescent="0.25">
      <c r="A110" t="s">
        <v>64</v>
      </c>
      <c r="B110" t="s">
        <v>91</v>
      </c>
      <c r="D110">
        <v>100</v>
      </c>
      <c r="E110">
        <v>5000</v>
      </c>
      <c r="F110" s="4">
        <f>SQRT(D110*4*1000/E110/3.14159)*1000</f>
        <v>5046.2671752405386</v>
      </c>
      <c r="G110">
        <v>5000</v>
      </c>
      <c r="H110" s="4">
        <v>8</v>
      </c>
      <c r="I110" s="4">
        <v>6</v>
      </c>
      <c r="J110" t="s">
        <v>100</v>
      </c>
      <c r="K110" s="5"/>
      <c r="L110" s="5">
        <f t="shared" si="73"/>
        <v>4315.7592624999997</v>
      </c>
      <c r="M110" s="5">
        <f t="shared" ref="M110:M114" si="77">G110*G110*1.05*1.05*(K110+H110)*7.85*2/2000000</f>
        <v>1730.925</v>
      </c>
      <c r="N110" s="5">
        <f t="shared" si="74"/>
        <v>863.15185250000002</v>
      </c>
      <c r="O110" s="8">
        <f>(L110+M110+N110)*F2*2</f>
        <v>1381967.223</v>
      </c>
      <c r="P110" s="5">
        <f t="shared" si="75"/>
        <v>6909.8361150000001</v>
      </c>
      <c r="Q110">
        <f>D110*900</f>
        <v>90000</v>
      </c>
      <c r="R110" s="28">
        <f t="shared" si="76"/>
        <v>96909.836114999998</v>
      </c>
      <c r="S110" s="28">
        <f t="shared" ref="S110:S114" si="78">R110</f>
        <v>96909.836114999998</v>
      </c>
      <c r="T110" s="4"/>
      <c r="U110" s="4"/>
      <c r="W110" s="13"/>
      <c r="Y110" s="5"/>
      <c r="Z110" s="5"/>
    </row>
    <row r="111" spans="1:30" x14ac:dyDescent="0.25">
      <c r="A111" t="s">
        <v>15</v>
      </c>
      <c r="B111" t="s">
        <v>92</v>
      </c>
      <c r="D111">
        <v>25</v>
      </c>
      <c r="E111">
        <v>3000</v>
      </c>
      <c r="F111" s="4">
        <f>SQRT(D111*4*1000/E111/3.14159)*1000</f>
        <v>3257.3514550366253</v>
      </c>
      <c r="G111">
        <v>3000</v>
      </c>
      <c r="H111" s="4">
        <v>6</v>
      </c>
      <c r="I111" s="4">
        <v>5</v>
      </c>
      <c r="J111" t="s">
        <v>100</v>
      </c>
      <c r="K111" s="5"/>
      <c r="L111" s="5">
        <f t="shared" si="73"/>
        <v>1220.7433342500001</v>
      </c>
      <c r="M111" s="5">
        <f t="shared" si="77"/>
        <v>467.34974999999997</v>
      </c>
      <c r="N111" s="5">
        <f t="shared" si="74"/>
        <v>244.14866685000004</v>
      </c>
      <c r="O111" s="8">
        <f>(L111+M111+N111)*F2*2</f>
        <v>386448.35022000008</v>
      </c>
      <c r="P111" s="5">
        <f t="shared" si="75"/>
        <v>1932.2417511000003</v>
      </c>
      <c r="Q111">
        <f>D111*1500</f>
        <v>37500</v>
      </c>
      <c r="R111" s="28">
        <f t="shared" si="76"/>
        <v>39432.241751100002</v>
      </c>
      <c r="S111" s="28">
        <f t="shared" si="78"/>
        <v>39432.241751100002</v>
      </c>
    </row>
    <row r="112" spans="1:30" x14ac:dyDescent="0.25">
      <c r="A112" t="s">
        <v>62</v>
      </c>
      <c r="B112" t="s">
        <v>96</v>
      </c>
      <c r="D112">
        <v>20</v>
      </c>
      <c r="E112">
        <v>3600</v>
      </c>
      <c r="F112" s="4">
        <f t="shared" ref="F112" si="79">SQRT(D112*4*1000/E112/3.14159)*1000</f>
        <v>2659.6163259173577</v>
      </c>
      <c r="G112" s="4">
        <v>2500</v>
      </c>
      <c r="H112" s="4">
        <v>6</v>
      </c>
      <c r="I112" s="4"/>
      <c r="J112" s="4"/>
      <c r="K112" s="5"/>
      <c r="L112" s="5">
        <f t="shared" si="73"/>
        <v>665.86000049999984</v>
      </c>
      <c r="M112" s="5">
        <f t="shared" ref="M112" si="80">G112*G112*1.05*1.05*(K112+H112)*7.85/1000000</f>
        <v>324.54843749999998</v>
      </c>
      <c r="N112" s="5">
        <f t="shared" si="74"/>
        <v>133.17200009999996</v>
      </c>
      <c r="O112" s="8">
        <f>(L112+M112+N112)*F2*2</f>
        <v>224716.08761999995</v>
      </c>
      <c r="P112" s="5">
        <f t="shared" si="75"/>
        <v>1123.5804380999998</v>
      </c>
      <c r="Q112">
        <f>D112*1500</f>
        <v>30000</v>
      </c>
      <c r="R112" s="28">
        <f t="shared" si="76"/>
        <v>31123.580438099998</v>
      </c>
      <c r="S112" s="28">
        <f t="shared" si="78"/>
        <v>31123.580438099998</v>
      </c>
    </row>
    <row r="113" spans="1:31" x14ac:dyDescent="0.25">
      <c r="A113" t="s">
        <v>61</v>
      </c>
      <c r="B113" t="s">
        <v>93</v>
      </c>
      <c r="D113">
        <v>25</v>
      </c>
      <c r="E113">
        <v>3000</v>
      </c>
      <c r="F113" s="4">
        <f t="shared" ref="F113" si="81">SQRT(D113*4*1000/E113/3.14159)*1000</f>
        <v>3257.3514550366253</v>
      </c>
      <c r="G113">
        <v>3000</v>
      </c>
      <c r="H113" s="4">
        <v>8</v>
      </c>
      <c r="I113" s="4">
        <v>5</v>
      </c>
      <c r="J113" t="s">
        <v>100</v>
      </c>
      <c r="K113" s="5"/>
      <c r="L113" s="5">
        <f t="shared" si="73"/>
        <v>1442.69666775</v>
      </c>
      <c r="M113" s="5">
        <f t="shared" si="77"/>
        <v>623.13300000000004</v>
      </c>
      <c r="N113" s="5">
        <f t="shared" si="74"/>
        <v>288.53933354999998</v>
      </c>
      <c r="O113" s="8">
        <f>(L113+M113+N113)*F2*2</f>
        <v>470873.80025999999</v>
      </c>
      <c r="P113" s="5">
        <f t="shared" si="75"/>
        <v>2354.3690013</v>
      </c>
      <c r="Q113">
        <f>D113*1000</f>
        <v>25000</v>
      </c>
      <c r="R113" s="28">
        <f t="shared" si="76"/>
        <v>27354.369001300001</v>
      </c>
      <c r="S113" s="28">
        <f t="shared" si="78"/>
        <v>27354.369001300001</v>
      </c>
      <c r="Y113" s="5"/>
      <c r="Z113" s="5"/>
    </row>
    <row r="114" spans="1:31" x14ac:dyDescent="0.25">
      <c r="A114" t="s">
        <v>60</v>
      </c>
      <c r="B114" t="s">
        <v>94</v>
      </c>
      <c r="D114">
        <v>20</v>
      </c>
      <c r="E114">
        <v>3000</v>
      </c>
      <c r="F114" s="4">
        <f>SQRT(D114*4*1000/E114/3.14159)*1000</f>
        <v>2913.4637120278971</v>
      </c>
      <c r="G114">
        <v>3000</v>
      </c>
      <c r="H114" s="4">
        <v>6</v>
      </c>
      <c r="I114" s="4">
        <v>5</v>
      </c>
      <c r="J114" t="s">
        <v>100</v>
      </c>
      <c r="K114" s="5"/>
      <c r="L114" s="5">
        <f t="shared" si="73"/>
        <v>1220.7433342500001</v>
      </c>
      <c r="M114" s="5">
        <f t="shared" si="77"/>
        <v>467.34974999999997</v>
      </c>
      <c r="N114" s="5">
        <f t="shared" si="74"/>
        <v>244.14866685000004</v>
      </c>
      <c r="O114" s="8">
        <f>(L114+M114+N114)*F2*2</f>
        <v>386448.35022000008</v>
      </c>
      <c r="P114" s="5">
        <f t="shared" si="75"/>
        <v>1932.2417511000003</v>
      </c>
      <c r="Q114">
        <f>D114*800</f>
        <v>16000</v>
      </c>
      <c r="R114" s="28">
        <f t="shared" si="76"/>
        <v>17932.241751100002</v>
      </c>
      <c r="S114" s="28">
        <f t="shared" si="78"/>
        <v>17932.241751100002</v>
      </c>
      <c r="Y114" s="5"/>
      <c r="Z114" s="5"/>
    </row>
    <row r="115" spans="1:31" x14ac:dyDescent="0.25">
      <c r="A115" t="s">
        <v>128</v>
      </c>
      <c r="E115" t="s">
        <v>127</v>
      </c>
      <c r="F115">
        <f>F117/2000</f>
        <v>0.61388888888888893</v>
      </c>
      <c r="G115">
        <v>1</v>
      </c>
      <c r="H115" s="4"/>
      <c r="I115" s="4"/>
      <c r="K115" s="5"/>
      <c r="L115" s="5"/>
      <c r="M115" s="5"/>
      <c r="N115" s="5"/>
      <c r="O115" s="8"/>
      <c r="P115" s="5"/>
      <c r="R115" s="28"/>
      <c r="S115" s="28"/>
      <c r="Y115" s="5"/>
      <c r="Z115" s="5"/>
    </row>
    <row r="116" spans="1:31" x14ac:dyDescent="0.25">
      <c r="A116" t="s">
        <v>126</v>
      </c>
      <c r="N116" t="s">
        <v>13</v>
      </c>
      <c r="O116" s="8">
        <f>SUM(O95:O114)</f>
        <v>9767164.4213860016</v>
      </c>
      <c r="P116" s="8"/>
      <c r="Q116" s="20"/>
      <c r="R116" s="8"/>
      <c r="S116" s="8"/>
      <c r="Y116" s="5"/>
      <c r="Z116" s="5"/>
    </row>
    <row r="117" spans="1:31" x14ac:dyDescent="0.25">
      <c r="A117" t="s">
        <v>16</v>
      </c>
      <c r="E117" t="s">
        <v>18</v>
      </c>
      <c r="F117" s="4">
        <f>(D95*2+D98+D100*2+D100+D101)*40000/450/2</f>
        <v>1227.7777777777778</v>
      </c>
      <c r="G117">
        <v>1500</v>
      </c>
      <c r="O117" s="8"/>
      <c r="P117" s="8"/>
      <c r="Q117" s="8"/>
      <c r="R117" s="8"/>
      <c r="S117" s="8"/>
      <c r="Y117" s="5"/>
      <c r="Z117" s="5"/>
    </row>
    <row r="118" spans="1:31" x14ac:dyDescent="0.25">
      <c r="A118" t="s">
        <v>17</v>
      </c>
      <c r="E118" t="s">
        <v>19</v>
      </c>
      <c r="G118">
        <f>G117*450/3/600</f>
        <v>375</v>
      </c>
      <c r="O118" s="8"/>
      <c r="P118" s="8"/>
      <c r="Q118" s="8"/>
      <c r="R118" s="8"/>
      <c r="S118" s="8"/>
      <c r="Y118" s="5"/>
      <c r="Z118" s="5"/>
    </row>
    <row r="119" spans="1:31" x14ac:dyDescent="0.25">
      <c r="E119" t="s">
        <v>102</v>
      </c>
      <c r="G119" s="4">
        <f>G117/100*7*18</f>
        <v>1890</v>
      </c>
      <c r="O119" s="8"/>
      <c r="P119" s="8"/>
      <c r="Q119" s="8"/>
      <c r="R119" s="8"/>
      <c r="S119" s="8"/>
      <c r="Y119" s="5"/>
      <c r="Z119" s="5"/>
    </row>
    <row r="120" spans="1:31" x14ac:dyDescent="0.25">
      <c r="O120" s="8"/>
      <c r="P120" s="8"/>
      <c r="Q120" s="8"/>
      <c r="R120" s="8"/>
      <c r="S120" s="8"/>
      <c r="Y120" s="5"/>
      <c r="Z120" s="5"/>
    </row>
    <row r="121" spans="1:31" ht="15.75" customHeight="1" x14ac:dyDescent="0.25">
      <c r="A121" s="6" t="s">
        <v>0</v>
      </c>
      <c r="B121" s="45"/>
      <c r="C121" s="45"/>
    </row>
    <row r="122" spans="1:31" x14ac:dyDescent="0.25">
      <c r="A122">
        <v>5</v>
      </c>
      <c r="B122" s="1" t="s">
        <v>157</v>
      </c>
      <c r="C122" t="s">
        <v>103</v>
      </c>
    </row>
    <row r="123" spans="1:31" ht="45" x14ac:dyDescent="0.25">
      <c r="A123" s="6" t="s">
        <v>3</v>
      </c>
      <c r="B123" s="6"/>
      <c r="C123" s="6"/>
      <c r="D123" s="6" t="s">
        <v>2</v>
      </c>
      <c r="E123" s="6" t="s">
        <v>4</v>
      </c>
      <c r="F123" s="6" t="s">
        <v>5</v>
      </c>
      <c r="G123" s="6" t="s">
        <v>6</v>
      </c>
      <c r="H123" s="45" t="s">
        <v>10</v>
      </c>
      <c r="I123" s="46"/>
      <c r="L123" s="9" t="s">
        <v>138</v>
      </c>
      <c r="M123" s="9" t="s">
        <v>12</v>
      </c>
      <c r="N123" s="9" t="s">
        <v>156</v>
      </c>
      <c r="O123" s="7" t="s">
        <v>11</v>
      </c>
      <c r="P123" s="27" t="s">
        <v>46</v>
      </c>
      <c r="Q123" s="27" t="s">
        <v>48</v>
      </c>
      <c r="R123" s="27" t="s">
        <v>47</v>
      </c>
      <c r="S123" s="27" t="s">
        <v>49</v>
      </c>
      <c r="T123" s="7" t="s">
        <v>42</v>
      </c>
      <c r="U123" s="36" t="s">
        <v>104</v>
      </c>
      <c r="V123" s="36" t="s">
        <v>43</v>
      </c>
      <c r="W123" s="36" t="s">
        <v>44</v>
      </c>
      <c r="X123" s="11"/>
      <c r="Y123" s="18"/>
      <c r="Z123" s="18"/>
      <c r="AB123" s="19"/>
      <c r="AC123" s="19"/>
      <c r="AD123" s="19"/>
      <c r="AE123" s="19"/>
    </row>
    <row r="124" spans="1:31" x14ac:dyDescent="0.25">
      <c r="A124" s="3" t="s">
        <v>53</v>
      </c>
      <c r="B124" t="s">
        <v>120</v>
      </c>
      <c r="D124" s="5">
        <f>A122*0.65</f>
        <v>3.25</v>
      </c>
      <c r="E124">
        <v>2400</v>
      </c>
      <c r="F124" s="4">
        <f>SQRT(D124*4*1000/E124/3.14159)*1000</f>
        <v>1313.0803503650293</v>
      </c>
      <c r="G124">
        <v>1300</v>
      </c>
      <c r="H124" s="4">
        <v>10</v>
      </c>
      <c r="I124" s="4"/>
      <c r="J124" t="s">
        <v>100</v>
      </c>
      <c r="L124" s="5">
        <f>3.14159*G124*E124*H124*7.85*1.5/1000000</f>
        <v>1154.1573341999999</v>
      </c>
      <c r="M124" s="5">
        <f>G124*G124*1.22*1.22*H124*7.85*2/1000000</f>
        <v>394.91717199999999</v>
      </c>
      <c r="N124" s="5">
        <f t="shared" ref="N124:N133" si="82">(K124+L124)*0.2</f>
        <v>230.83146683999999</v>
      </c>
      <c r="O124" s="8">
        <f>(L124+M124+N124)*E2*1.4</f>
        <v>498373.67245119996</v>
      </c>
      <c r="P124" s="5">
        <f t="shared" ref="P124" si="83">L124+M124+N124</f>
        <v>1779.9059730399999</v>
      </c>
      <c r="Q124">
        <f>D124*1500</f>
        <v>4875</v>
      </c>
      <c r="R124" s="5">
        <f t="shared" ref="R124" si="84">P124+Q124</f>
        <v>6654.9059730400004</v>
      </c>
      <c r="S124" s="5">
        <f>R124</f>
        <v>6654.9059730400004</v>
      </c>
      <c r="T124" s="8" t="s">
        <v>50</v>
      </c>
      <c r="U124" s="20">
        <f>G149</f>
        <v>150</v>
      </c>
      <c r="V124" s="5">
        <f>SQRT(U124/1000/60/3.14)*1000</f>
        <v>28.216632399155017</v>
      </c>
      <c r="W124" s="5">
        <f>SQRT(U124*3/4/1000/60/3.14)*1000</f>
        <v>24.436320466915294</v>
      </c>
      <c r="X124" s="47" t="s">
        <v>79</v>
      </c>
      <c r="Y124" s="47"/>
      <c r="Z124" s="21"/>
      <c r="AB124" s="21"/>
      <c r="AC124" s="21"/>
      <c r="AD124" s="21"/>
      <c r="AE124" s="21"/>
    </row>
    <row r="125" spans="1:31" x14ac:dyDescent="0.25">
      <c r="A125" s="3" t="s">
        <v>118</v>
      </c>
      <c r="B125" t="s">
        <v>117</v>
      </c>
      <c r="C125" s="25"/>
      <c r="D125" s="23">
        <f>A122*0.2</f>
        <v>1</v>
      </c>
      <c r="E125" s="23">
        <v>1200</v>
      </c>
      <c r="F125" s="24">
        <f>SQRT(D125*4*1000/E125/3.14159)*1000</f>
        <v>1030.0649737579283</v>
      </c>
      <c r="G125" s="23">
        <v>1000</v>
      </c>
      <c r="H125" s="24">
        <v>6</v>
      </c>
      <c r="I125" s="28"/>
      <c r="J125" t="s">
        <v>100</v>
      </c>
      <c r="L125" s="5">
        <f>3.14159*G125*E125*H125*7.85/1000000</f>
        <v>177.56266679999996</v>
      </c>
      <c r="M125" s="5">
        <f>G125*G125*1.22*1.22*H125*7.85*2/1000000</f>
        <v>140.20728</v>
      </c>
      <c r="N125" s="5">
        <f t="shared" si="82"/>
        <v>35.512533359999992</v>
      </c>
      <c r="O125" s="8">
        <f>(L125+M125+N125)*E2</f>
        <v>70656.496031999995</v>
      </c>
      <c r="P125" s="5">
        <f t="shared" ref="P125:P133" si="85">L125+M125+N125</f>
        <v>353.28248015999998</v>
      </c>
      <c r="Q125">
        <f>D125*1500</f>
        <v>1500</v>
      </c>
      <c r="R125" s="5">
        <f t="shared" ref="R125:R133" si="86">P125+Q125</f>
        <v>1853.28248016</v>
      </c>
      <c r="S125" s="5">
        <f t="shared" ref="S125:S133" si="87">R125</f>
        <v>1853.28248016</v>
      </c>
      <c r="T125" s="8" t="s">
        <v>65</v>
      </c>
      <c r="U125" s="20">
        <f>D124*1000/15</f>
        <v>216.66666666666666</v>
      </c>
      <c r="V125" s="5">
        <f>SQRT(U125/1000/60/3.14)*1000</f>
        <v>33.91217164535729</v>
      </c>
      <c r="W125" s="5">
        <f>SQRT(U125*3/4/1000/60/3.14)*1000</f>
        <v>29.368802142377746</v>
      </c>
      <c r="X125" s="5" t="s">
        <v>80</v>
      </c>
      <c r="Y125" s="4">
        <f>D124*1000*0.8</f>
        <v>2600</v>
      </c>
      <c r="Z125" s="21"/>
      <c r="AB125" s="21"/>
      <c r="AC125" s="21"/>
      <c r="AD125" s="21"/>
      <c r="AE125" s="21"/>
    </row>
    <row r="126" spans="1:31" x14ac:dyDescent="0.25">
      <c r="A126" s="3" t="s">
        <v>52</v>
      </c>
      <c r="B126" t="s">
        <v>95</v>
      </c>
      <c r="C126" s="25"/>
      <c r="D126" s="23">
        <f>A122*0.6</f>
        <v>3</v>
      </c>
      <c r="E126" s="23">
        <v>1800</v>
      </c>
      <c r="F126" s="24">
        <f>SQRT(D126*4*1000/E126/3.14159)*1000</f>
        <v>1456.7318560139486</v>
      </c>
      <c r="G126" s="23">
        <v>1500</v>
      </c>
      <c r="H126" s="24">
        <v>6</v>
      </c>
      <c r="I126" s="28"/>
      <c r="J126" t="s">
        <v>100</v>
      </c>
      <c r="L126" s="5">
        <f>3.14159*G126*E126*H126*7.85*1.5/1000000</f>
        <v>599.2740004499999</v>
      </c>
      <c r="M126" s="5">
        <f>G126*G126*1.22*1.22*H126*7.85*2/1000000</f>
        <v>315.46638000000002</v>
      </c>
      <c r="N126" s="5">
        <f t="shared" si="82"/>
        <v>119.85480008999998</v>
      </c>
      <c r="O126" s="8">
        <f>(L126+M126+N126)*E2</f>
        <v>206919.036108</v>
      </c>
      <c r="P126" s="5">
        <f t="shared" si="85"/>
        <v>1034.59518054</v>
      </c>
      <c r="Q126">
        <f>D126*900</f>
        <v>2700</v>
      </c>
      <c r="R126" s="5">
        <f t="shared" si="86"/>
        <v>3734.59518054</v>
      </c>
      <c r="S126" s="5">
        <f t="shared" si="87"/>
        <v>3734.59518054</v>
      </c>
      <c r="T126" s="8" t="s">
        <v>66</v>
      </c>
      <c r="U126" s="20">
        <f>D127*1000/15</f>
        <v>216.66666666666666</v>
      </c>
      <c r="V126" s="5">
        <f t="shared" ref="V126:V137" si="88">SQRT(U126/1000/60/3.14)*1000</f>
        <v>33.91217164535729</v>
      </c>
      <c r="W126" s="5">
        <f t="shared" ref="W126:W137" si="89">SQRT(U126*3/4/1000/60/3.14)*1000</f>
        <v>29.368802142377746</v>
      </c>
      <c r="X126" s="5" t="s">
        <v>81</v>
      </c>
      <c r="Y126" s="4">
        <f>D124*1000*0.1</f>
        <v>325</v>
      </c>
      <c r="Z126" s="5"/>
      <c r="AB126" s="5"/>
      <c r="AD126" s="5"/>
    </row>
    <row r="127" spans="1:31" x14ac:dyDescent="0.25">
      <c r="A127" t="s">
        <v>56</v>
      </c>
      <c r="B127" t="s">
        <v>89</v>
      </c>
      <c r="D127">
        <f>A122*0.65</f>
        <v>3.25</v>
      </c>
      <c r="E127">
        <v>2400</v>
      </c>
      <c r="F127" s="4">
        <f t="shared" ref="F127:F128" si="90">SQRT(D127*4*1000/E127/3.14159)*1000</f>
        <v>1313.0803503650293</v>
      </c>
      <c r="G127">
        <v>1300</v>
      </c>
      <c r="H127" s="4">
        <v>8</v>
      </c>
      <c r="I127" s="4"/>
      <c r="J127" t="s">
        <v>101</v>
      </c>
      <c r="L127" s="5">
        <f>3.14159*G127*E127*H127*8.15/1000000+3.14159*G127*E127*H127*7.85/2000000</f>
        <v>946.85009328000012</v>
      </c>
      <c r="M127" s="5">
        <f t="shared" ref="M127" si="91">G127*G127*1.22*1.22*H127*8.15*2/1000000</f>
        <v>328.00763840000002</v>
      </c>
      <c r="N127" s="5">
        <f t="shared" si="82"/>
        <v>189.37001865600004</v>
      </c>
      <c r="O127" s="8">
        <f>(L127+M127+N127)*D2*1.2</f>
        <v>878536.65020159993</v>
      </c>
      <c r="P127" s="5">
        <f t="shared" si="85"/>
        <v>1464.2277503360001</v>
      </c>
      <c r="Q127">
        <f>D127*1200</f>
        <v>3900</v>
      </c>
      <c r="R127" s="5">
        <f t="shared" si="86"/>
        <v>5364.2277503360001</v>
      </c>
      <c r="S127" s="5">
        <f t="shared" si="87"/>
        <v>5364.2277503360001</v>
      </c>
      <c r="T127" s="8" t="s">
        <v>67</v>
      </c>
      <c r="U127" s="20">
        <f>D128*1000*0.1/60</f>
        <v>5.416666666666667</v>
      </c>
      <c r="V127" s="5">
        <f t="shared" si="88"/>
        <v>5.361985140095447</v>
      </c>
      <c r="W127" s="5">
        <f t="shared" si="89"/>
        <v>4.6436153460373184</v>
      </c>
      <c r="X127" s="5" t="s">
        <v>82</v>
      </c>
      <c r="Y127" s="4">
        <f>D124*1000*0.00625</f>
        <v>20.3125</v>
      </c>
      <c r="Z127" s="5"/>
      <c r="AB127" s="5"/>
      <c r="AD127" s="5"/>
    </row>
    <row r="128" spans="1:31" x14ac:dyDescent="0.25">
      <c r="A128" t="s">
        <v>54</v>
      </c>
      <c r="B128" t="s">
        <v>141</v>
      </c>
      <c r="D128">
        <f>A122*0.65</f>
        <v>3.25</v>
      </c>
      <c r="E128">
        <v>2400</v>
      </c>
      <c r="F128" s="4">
        <f t="shared" si="90"/>
        <v>1313.0803503650293</v>
      </c>
      <c r="G128">
        <v>1300</v>
      </c>
      <c r="H128" s="4">
        <v>8</v>
      </c>
      <c r="I128" s="4"/>
      <c r="J128" t="s">
        <v>100</v>
      </c>
      <c r="L128" s="5">
        <f>3.14159*G128*E128*H128*7.85/1000000</f>
        <v>615.55057824000005</v>
      </c>
      <c r="M128" s="5">
        <f>G128*G128*1.22*1.22*H128*7.85*2/1000000</f>
        <v>315.93373759999997</v>
      </c>
      <c r="N128" s="5">
        <f t="shared" si="82"/>
        <v>123.11011564800002</v>
      </c>
      <c r="O128" s="8">
        <f>(L128+M128+N128)*E2*3*1.25</f>
        <v>790945.82361600013</v>
      </c>
      <c r="P128" s="5">
        <f t="shared" si="85"/>
        <v>1054.5944314880001</v>
      </c>
      <c r="Q128">
        <f>D128*1200</f>
        <v>3900</v>
      </c>
      <c r="R128" s="5">
        <f t="shared" si="86"/>
        <v>4954.5944314879998</v>
      </c>
      <c r="S128" s="5">
        <f t="shared" si="87"/>
        <v>4954.5944314879998</v>
      </c>
      <c r="T128" s="8" t="s">
        <v>51</v>
      </c>
      <c r="U128" s="20">
        <f>D128*1000*0.9/60</f>
        <v>48.75</v>
      </c>
      <c r="V128" s="5">
        <f t="shared" si="88"/>
        <v>16.085955420286339</v>
      </c>
      <c r="W128" s="5">
        <f t="shared" si="89"/>
        <v>13.930846038111957</v>
      </c>
      <c r="X128" s="44" t="s">
        <v>83</v>
      </c>
      <c r="Y128" s="44"/>
      <c r="Z128" s="5"/>
      <c r="AB128" s="5"/>
      <c r="AD128" s="5"/>
    </row>
    <row r="129" spans="1:30" x14ac:dyDescent="0.25">
      <c r="A129" t="s">
        <v>57</v>
      </c>
      <c r="B129" t="s">
        <v>142</v>
      </c>
      <c r="D129">
        <f>D127*0.15</f>
        <v>0.48749999999999999</v>
      </c>
      <c r="E129" s="34">
        <v>2000</v>
      </c>
      <c r="F129" s="4">
        <f>SQRT(D129*4*1000/E129/3.14159)*1000</f>
        <v>557.09281199155191</v>
      </c>
      <c r="G129">
        <v>550</v>
      </c>
      <c r="H129" s="4">
        <v>5</v>
      </c>
      <c r="I129" s="4"/>
      <c r="J129" t="s">
        <v>100</v>
      </c>
      <c r="L129" s="5">
        <f>3.14159*G129*E129*H129*7.85*2/1000000</f>
        <v>271.2762965</v>
      </c>
      <c r="M129" s="5">
        <f>G129*G129*1.22*1.22*H129*7.85*2/1000000</f>
        <v>35.343918500000001</v>
      </c>
      <c r="N129" s="5">
        <f t="shared" si="82"/>
        <v>54.255259300000006</v>
      </c>
      <c r="O129" s="8">
        <f>(L129+M129+N129)*E2*2</f>
        <v>144350.18972000002</v>
      </c>
      <c r="P129" s="5">
        <f t="shared" si="85"/>
        <v>360.87547430000006</v>
      </c>
      <c r="Q129">
        <f>D129*1000</f>
        <v>487.5</v>
      </c>
      <c r="R129" s="5">
        <f t="shared" si="86"/>
        <v>848.37547430000006</v>
      </c>
      <c r="S129" s="5">
        <f t="shared" si="87"/>
        <v>848.37547430000006</v>
      </c>
      <c r="T129" s="8" t="s">
        <v>68</v>
      </c>
      <c r="U129" s="20">
        <f>U128</f>
        <v>48.75</v>
      </c>
      <c r="V129" s="5">
        <f t="shared" si="88"/>
        <v>16.085955420286339</v>
      </c>
      <c r="W129" s="5">
        <f t="shared" si="89"/>
        <v>13.930846038111957</v>
      </c>
      <c r="X129" s="5" t="s">
        <v>84</v>
      </c>
      <c r="Y129" s="4">
        <f>D127*1000*0.8</f>
        <v>2600</v>
      </c>
      <c r="Z129" s="5"/>
      <c r="AB129" s="5"/>
      <c r="AD129" s="5"/>
    </row>
    <row r="130" spans="1:30" x14ac:dyDescent="0.25">
      <c r="A130" t="s">
        <v>55</v>
      </c>
      <c r="B130" t="s">
        <v>97</v>
      </c>
      <c r="D130">
        <f>D127*0.8</f>
        <v>2.6</v>
      </c>
      <c r="E130" s="34">
        <v>2400</v>
      </c>
      <c r="F130" s="4">
        <f>SQRT(D130*4*1000/E130/3.14159)*1000</f>
        <v>1174.4547693341785</v>
      </c>
      <c r="G130">
        <v>1150</v>
      </c>
      <c r="H130" s="4">
        <v>5</v>
      </c>
      <c r="I130" s="4"/>
      <c r="J130" t="s">
        <v>100</v>
      </c>
      <c r="L130" s="5">
        <f>3.14159*G130*E130*H130*7.85*2/1000000</f>
        <v>680.65688939999995</v>
      </c>
      <c r="M130" s="5">
        <f>G130*G130*1.22*1.22*H130*7.85*2/1000000</f>
        <v>154.5201065</v>
      </c>
      <c r="N130" s="5">
        <f t="shared" si="82"/>
        <v>136.13137788</v>
      </c>
      <c r="O130" s="8">
        <f>(L130+M130+N130)*E2*1.4</f>
        <v>271966.34465839999</v>
      </c>
      <c r="P130" s="5">
        <f t="shared" si="85"/>
        <v>971.30837378000001</v>
      </c>
      <c r="Q130">
        <f>D130*1200</f>
        <v>3120</v>
      </c>
      <c r="R130" s="5">
        <f t="shared" si="86"/>
        <v>4091.3083737799998</v>
      </c>
      <c r="S130" s="5">
        <f t="shared" si="87"/>
        <v>4091.3083737799998</v>
      </c>
      <c r="T130" s="8" t="s">
        <v>69</v>
      </c>
      <c r="U130" s="20">
        <f>D129*1000/60</f>
        <v>8.125</v>
      </c>
      <c r="V130" s="5">
        <f t="shared" si="88"/>
        <v>6.5670638008098097</v>
      </c>
      <c r="W130" s="5">
        <f t="shared" si="89"/>
        <v>5.6872440797744854</v>
      </c>
      <c r="X130" s="5" t="s">
        <v>81</v>
      </c>
      <c r="Y130" s="4"/>
      <c r="Z130" s="5"/>
      <c r="AB130" s="5"/>
      <c r="AD130" s="5"/>
    </row>
    <row r="131" spans="1:30" x14ac:dyDescent="0.25">
      <c r="A131" t="s">
        <v>110</v>
      </c>
      <c r="B131" t="s">
        <v>132</v>
      </c>
      <c r="E131" s="34">
        <v>3000</v>
      </c>
      <c r="F131" s="4">
        <v>300</v>
      </c>
      <c r="G131">
        <v>300</v>
      </c>
      <c r="H131" s="4">
        <v>3</v>
      </c>
      <c r="I131" s="4"/>
      <c r="J131" t="s">
        <v>100</v>
      </c>
      <c r="L131" s="5">
        <f>3.14159*G131*E131*H131*7.85/1000000</f>
        <v>66.586000049999996</v>
      </c>
      <c r="M131" s="5">
        <f>G131*G131*1.22*1.22*H131*7.85*2/1000000</f>
        <v>6.3093275999999996</v>
      </c>
      <c r="N131" s="5">
        <f t="shared" si="82"/>
        <v>13.317200010000001</v>
      </c>
      <c r="O131" s="8">
        <f>(L131+M131+N131)*E2*3*5</f>
        <v>258637.58298000004</v>
      </c>
      <c r="P131" s="5">
        <f t="shared" si="85"/>
        <v>86.212527660000006</v>
      </c>
      <c r="Q131">
        <v>80</v>
      </c>
      <c r="R131" s="5">
        <f t="shared" si="86"/>
        <v>166.21252766000001</v>
      </c>
      <c r="S131" s="5">
        <f t="shared" si="87"/>
        <v>166.21252766000001</v>
      </c>
      <c r="T131" s="8" t="s">
        <v>70</v>
      </c>
      <c r="U131" s="20">
        <f>D130*1000/60</f>
        <v>43.333333333333336</v>
      </c>
      <c r="V131" s="5">
        <f t="shared" si="88"/>
        <v>15.165984212731964</v>
      </c>
      <c r="W131" s="5">
        <f t="shared" si="89"/>
        <v>13.134127601619619</v>
      </c>
      <c r="X131" s="5" t="s">
        <v>85</v>
      </c>
      <c r="Y131" s="4">
        <f>Y127*L129/2/L125</f>
        <v>15.516493055555559</v>
      </c>
      <c r="Z131" s="5"/>
      <c r="AB131" s="5"/>
      <c r="AD131" s="5"/>
    </row>
    <row r="132" spans="1:30" x14ac:dyDescent="0.25">
      <c r="A132" t="s">
        <v>58</v>
      </c>
      <c r="B132" t="s">
        <v>137</v>
      </c>
      <c r="D132">
        <f>D124*0.01</f>
        <v>3.2500000000000001E-2</v>
      </c>
      <c r="E132">
        <v>2400</v>
      </c>
      <c r="F132" s="4">
        <f>SQRT(D132*4*1000/E132/3.14159)*1000</f>
        <v>131.30803503650293</v>
      </c>
      <c r="G132">
        <v>300</v>
      </c>
      <c r="H132" s="4">
        <v>3</v>
      </c>
      <c r="I132" s="4"/>
      <c r="J132" t="s">
        <v>106</v>
      </c>
      <c r="L132" s="5">
        <f>3.14159*G132*E132*H132*8.15/1000000</f>
        <v>55.30455036</v>
      </c>
      <c r="M132" s="5">
        <f>G132*G132*1.05*1.05*H132*8.15*2/1000000</f>
        <v>4.8521025</v>
      </c>
      <c r="N132" s="5">
        <f t="shared" si="82"/>
        <v>11.060910072</v>
      </c>
      <c r="O132" s="8">
        <f>(L132+M132+N132)*D2*2</f>
        <v>71217.562932000001</v>
      </c>
      <c r="P132" s="5">
        <f t="shared" si="85"/>
        <v>71.217562932000007</v>
      </c>
      <c r="Q132">
        <f t="shared" ref="Q132:Q133" si="92">D132*800</f>
        <v>26</v>
      </c>
      <c r="R132" s="5">
        <f t="shared" si="86"/>
        <v>97.217562932000007</v>
      </c>
      <c r="S132" s="5">
        <f t="shared" si="87"/>
        <v>97.217562932000007</v>
      </c>
      <c r="T132" s="8" t="s">
        <v>71</v>
      </c>
      <c r="U132" s="20">
        <f>10000/60</f>
        <v>166.66666666666666</v>
      </c>
      <c r="V132" s="5">
        <f t="shared" si="88"/>
        <v>29.742942093677069</v>
      </c>
      <c r="W132" s="5">
        <f t="shared" si="89"/>
        <v>25.75814343641386</v>
      </c>
      <c r="X132" s="44" t="s">
        <v>86</v>
      </c>
      <c r="Y132" s="44"/>
      <c r="Z132" s="5"/>
      <c r="AB132" s="5"/>
      <c r="AD132" s="5"/>
    </row>
    <row r="133" spans="1:30" x14ac:dyDescent="0.25">
      <c r="A133" t="s">
        <v>59</v>
      </c>
      <c r="B133" t="s">
        <v>150</v>
      </c>
      <c r="D133">
        <f>D127*0.02</f>
        <v>6.5000000000000002E-2</v>
      </c>
      <c r="E133">
        <v>2400</v>
      </c>
      <c r="F133" s="4">
        <f>SQRT(D133*4*1000/E133/3.14159)*1000</f>
        <v>185.69760399718396</v>
      </c>
      <c r="G133">
        <v>300</v>
      </c>
      <c r="H133" s="4">
        <v>3</v>
      </c>
      <c r="I133" s="4"/>
      <c r="J133" t="s">
        <v>100</v>
      </c>
      <c r="L133" s="5">
        <f>3.14159*G133*E133*H133*7.85/1000000</f>
        <v>53.268800039999995</v>
      </c>
      <c r="M133" s="5">
        <f>G133*G133*1.05*1.05*H133*7.85*2/1000000</f>
        <v>4.6734974999999999</v>
      </c>
      <c r="N133" s="5">
        <f t="shared" si="82"/>
        <v>10.653760007999999</v>
      </c>
      <c r="O133" s="8">
        <f>(L133+M133+N133)*E2*2</f>
        <v>27438.423019200003</v>
      </c>
      <c r="P133" s="5">
        <f t="shared" si="85"/>
        <v>68.596057548000005</v>
      </c>
      <c r="Q133">
        <f t="shared" si="92"/>
        <v>52</v>
      </c>
      <c r="R133" s="5">
        <f t="shared" si="86"/>
        <v>120.596057548</v>
      </c>
      <c r="S133" s="5">
        <f t="shared" si="87"/>
        <v>120.596057548</v>
      </c>
      <c r="T133" s="8" t="s">
        <v>72</v>
      </c>
      <c r="U133" s="20">
        <f>G148*1.2/60</f>
        <v>12</v>
      </c>
      <c r="V133" s="5">
        <f t="shared" si="88"/>
        <v>7.9808688446762215</v>
      </c>
      <c r="W133" s="5">
        <f t="shared" si="89"/>
        <v>6.9116351637613711</v>
      </c>
      <c r="X133" s="5" t="s">
        <v>84</v>
      </c>
      <c r="Y133" s="4">
        <f>D127*1000*0.8</f>
        <v>2600</v>
      </c>
      <c r="Z133" s="5"/>
      <c r="AB133" s="5"/>
      <c r="AD133" s="5"/>
    </row>
    <row r="134" spans="1:30" x14ac:dyDescent="0.25">
      <c r="A134" t="s">
        <v>116</v>
      </c>
      <c r="B134" t="s">
        <v>135</v>
      </c>
      <c r="D134" s="38">
        <f t="shared" ref="D134:D135" si="93">3.14159*0.019*E134*14/1000</f>
        <v>1.5041932919999998</v>
      </c>
      <c r="E134">
        <v>1800</v>
      </c>
      <c r="J134" t="s">
        <v>100</v>
      </c>
      <c r="O134" s="8">
        <v>300000</v>
      </c>
      <c r="T134" s="8" t="s">
        <v>73</v>
      </c>
      <c r="U134" s="20">
        <f>D125*1000/60</f>
        <v>16.666666666666668</v>
      </c>
      <c r="V134" s="5">
        <f t="shared" si="88"/>
        <v>9.4055441330516718</v>
      </c>
      <c r="W134" s="5">
        <f t="shared" si="89"/>
        <v>8.1454401556384326</v>
      </c>
      <c r="X134" s="5" t="s">
        <v>81</v>
      </c>
      <c r="Y134" s="4">
        <f>Y133*0.2</f>
        <v>520</v>
      </c>
      <c r="Z134" s="5"/>
      <c r="AB134" s="5"/>
      <c r="AD134" s="5"/>
    </row>
    <row r="135" spans="1:30" x14ac:dyDescent="0.25">
      <c r="A135" t="s">
        <v>107</v>
      </c>
      <c r="B135" t="s">
        <v>109</v>
      </c>
      <c r="D135" s="38">
        <f t="shared" si="93"/>
        <v>2.0055910559999997</v>
      </c>
      <c r="E135">
        <v>2400</v>
      </c>
      <c r="J135" t="s">
        <v>100</v>
      </c>
      <c r="O135" s="8">
        <v>150000</v>
      </c>
      <c r="T135" s="8" t="s">
        <v>74</v>
      </c>
      <c r="U135" s="20">
        <f>10000/60</f>
        <v>166.66666666666666</v>
      </c>
      <c r="V135" s="5">
        <f t="shared" si="88"/>
        <v>29.742942093677069</v>
      </c>
      <c r="W135" s="5">
        <f t="shared" si="89"/>
        <v>25.75814343641386</v>
      </c>
      <c r="X135" s="5" t="s">
        <v>85</v>
      </c>
      <c r="Z135" s="5"/>
      <c r="AB135" s="5"/>
      <c r="AD135" s="5"/>
    </row>
    <row r="136" spans="1:30" x14ac:dyDescent="0.25">
      <c r="A136" t="s">
        <v>111</v>
      </c>
      <c r="B136" t="s">
        <v>154</v>
      </c>
      <c r="D136" s="38">
        <f>3.14159*0.019*E136*10/1000</f>
        <v>1.1938041999999998</v>
      </c>
      <c r="E136">
        <v>2000</v>
      </c>
      <c r="J136" t="s">
        <v>100</v>
      </c>
      <c r="O136" s="8">
        <v>100000</v>
      </c>
      <c r="T136" s="8" t="s">
        <v>75</v>
      </c>
      <c r="U136" s="20">
        <f>D126*1000/60</f>
        <v>50</v>
      </c>
      <c r="V136" s="5">
        <f t="shared" si="88"/>
        <v>16.290880311276865</v>
      </c>
      <c r="W136" s="5">
        <f t="shared" si="89"/>
        <v>14.108316199577509</v>
      </c>
      <c r="X136" s="44" t="s">
        <v>87</v>
      </c>
      <c r="Y136" s="44"/>
      <c r="Z136" s="5"/>
      <c r="AB136" s="5"/>
      <c r="AD136" s="5"/>
    </row>
    <row r="137" spans="1:30" x14ac:dyDescent="0.25">
      <c r="A137" t="s">
        <v>112</v>
      </c>
      <c r="B137" t="s">
        <v>153</v>
      </c>
      <c r="D137" s="38">
        <f>3.14159*0.019*E137*10/1000</f>
        <v>1.4325650399999996</v>
      </c>
      <c r="E137">
        <v>2400</v>
      </c>
      <c r="J137" t="s">
        <v>100</v>
      </c>
      <c r="O137" s="8">
        <v>100000</v>
      </c>
      <c r="T137" s="8" t="s">
        <v>76</v>
      </c>
      <c r="U137" s="20">
        <f>10000/60</f>
        <v>166.66666666666666</v>
      </c>
      <c r="V137" s="5">
        <f t="shared" si="88"/>
        <v>29.742942093677069</v>
      </c>
      <c r="W137" s="5">
        <f t="shared" si="89"/>
        <v>25.75814343641386</v>
      </c>
      <c r="X137" s="5" t="s">
        <v>88</v>
      </c>
      <c r="Y137" s="4">
        <f>D127*1000*0.8</f>
        <v>2600</v>
      </c>
      <c r="Z137" s="5"/>
      <c r="AB137" s="5"/>
      <c r="AD137" s="5"/>
    </row>
    <row r="138" spans="1:30" x14ac:dyDescent="0.25">
      <c r="A138" t="s">
        <v>63</v>
      </c>
      <c r="B138" t="s">
        <v>90</v>
      </c>
      <c r="D138">
        <v>100</v>
      </c>
      <c r="E138">
        <v>5000</v>
      </c>
      <c r="F138" s="4">
        <f t="shared" ref="F138:F143" si="94">SQRT(D138*4*1000/E138/3.14159)*1000</f>
        <v>5046.2671752405386</v>
      </c>
      <c r="G138">
        <v>5000</v>
      </c>
      <c r="H138" s="4">
        <v>8</v>
      </c>
      <c r="I138" s="4">
        <v>6</v>
      </c>
      <c r="J138" t="s">
        <v>100</v>
      </c>
      <c r="K138" s="5"/>
      <c r="L138" s="5">
        <f t="shared" ref="L138:L143" si="95">3.14159*G138*E138*(H138+I138)*7.85/2000000</f>
        <v>4315.7592624999997</v>
      </c>
      <c r="M138" s="5">
        <f>G138*G138*1.05*1.05*(K138+H138)*7.85*2/2000000</f>
        <v>1730.925</v>
      </c>
      <c r="N138" s="5">
        <f t="shared" ref="N138:N143" si="96">(K138+L138)*0.2</f>
        <v>863.15185250000002</v>
      </c>
      <c r="O138" s="8">
        <f>(L138+M138+N138)*F2*2</f>
        <v>1381967.223</v>
      </c>
      <c r="P138" s="5">
        <f t="shared" ref="P138:P143" si="97">L138+M138+N138</f>
        <v>6909.8361150000001</v>
      </c>
      <c r="Q138">
        <f>D138*900</f>
        <v>90000</v>
      </c>
      <c r="R138" s="5">
        <f t="shared" ref="R138:R143" si="98">P138+Q138</f>
        <v>96909.836114999998</v>
      </c>
      <c r="S138" s="5">
        <f>R138</f>
        <v>96909.836114999998</v>
      </c>
      <c r="T138" s="4"/>
      <c r="U138" s="4"/>
      <c r="W138" s="13"/>
      <c r="Y138" s="5"/>
      <c r="Z138" s="5"/>
      <c r="AB138" s="5"/>
      <c r="AD138" s="5"/>
    </row>
    <row r="139" spans="1:30" x14ac:dyDescent="0.25">
      <c r="A139" t="s">
        <v>64</v>
      </c>
      <c r="B139" t="s">
        <v>91</v>
      </c>
      <c r="D139">
        <v>100</v>
      </c>
      <c r="E139">
        <v>5000</v>
      </c>
      <c r="F139" s="4">
        <f t="shared" si="94"/>
        <v>5046.2671752405386</v>
      </c>
      <c r="G139">
        <v>5000</v>
      </c>
      <c r="H139" s="4">
        <v>8</v>
      </c>
      <c r="I139" s="4">
        <v>6</v>
      </c>
      <c r="J139" t="s">
        <v>100</v>
      </c>
      <c r="K139" s="5"/>
      <c r="L139" s="5">
        <f t="shared" si="95"/>
        <v>4315.7592624999997</v>
      </c>
      <c r="M139" s="5">
        <f t="shared" ref="M139:M143" si="99">G139*G139*1.05*1.05*(K139+H139)*7.85*2/2000000</f>
        <v>1730.925</v>
      </c>
      <c r="N139" s="5">
        <f t="shared" si="96"/>
        <v>863.15185250000002</v>
      </c>
      <c r="O139" s="8">
        <f>(L139+M139+N139)*F2*2</f>
        <v>1381967.223</v>
      </c>
      <c r="P139" s="5">
        <f t="shared" si="97"/>
        <v>6909.8361150000001</v>
      </c>
      <c r="Q139">
        <f>D139*900</f>
        <v>90000</v>
      </c>
      <c r="R139" s="5">
        <f t="shared" si="98"/>
        <v>96909.836114999998</v>
      </c>
      <c r="S139" s="5">
        <f t="shared" ref="S139:S143" si="100">R139</f>
        <v>96909.836114999998</v>
      </c>
      <c r="T139" s="4"/>
      <c r="U139" s="4"/>
      <c r="W139" s="13"/>
      <c r="Y139" s="5"/>
      <c r="Z139" s="5"/>
      <c r="AB139" s="5"/>
      <c r="AD139" s="5"/>
    </row>
    <row r="140" spans="1:30" x14ac:dyDescent="0.25">
      <c r="A140" t="s">
        <v>15</v>
      </c>
      <c r="B140" t="s">
        <v>92</v>
      </c>
      <c r="D140">
        <v>25</v>
      </c>
      <c r="E140">
        <v>3000</v>
      </c>
      <c r="F140" s="4">
        <f t="shared" si="94"/>
        <v>3257.3514550366253</v>
      </c>
      <c r="G140">
        <v>3000</v>
      </c>
      <c r="H140" s="4">
        <v>6</v>
      </c>
      <c r="I140" s="4">
        <v>5</v>
      </c>
      <c r="J140" t="s">
        <v>100</v>
      </c>
      <c r="K140" s="5"/>
      <c r="L140" s="5">
        <f t="shared" si="95"/>
        <v>1220.7433342500001</v>
      </c>
      <c r="M140" s="5">
        <f t="shared" si="99"/>
        <v>467.34974999999997</v>
      </c>
      <c r="N140" s="5">
        <f t="shared" si="96"/>
        <v>244.14866685000004</v>
      </c>
      <c r="O140" s="8">
        <f>(L140+M140+N140)*F2*2</f>
        <v>386448.35022000008</v>
      </c>
      <c r="P140" s="5">
        <f t="shared" si="97"/>
        <v>1932.2417511000003</v>
      </c>
      <c r="Q140">
        <f>D140*1500</f>
        <v>37500</v>
      </c>
      <c r="R140" s="5">
        <f t="shared" si="98"/>
        <v>39432.241751100002</v>
      </c>
      <c r="S140" s="5">
        <f t="shared" si="100"/>
        <v>39432.241751100002</v>
      </c>
      <c r="T140" s="4"/>
      <c r="U140" s="4"/>
      <c r="W140" s="13"/>
      <c r="Y140" s="5"/>
      <c r="Z140" s="5"/>
    </row>
    <row r="141" spans="1:30" x14ac:dyDescent="0.25">
      <c r="A141" t="s">
        <v>62</v>
      </c>
      <c r="B141" t="s">
        <v>96</v>
      </c>
      <c r="D141">
        <v>20</v>
      </c>
      <c r="E141">
        <v>3600</v>
      </c>
      <c r="F141" s="4">
        <f t="shared" si="94"/>
        <v>2659.6163259173577</v>
      </c>
      <c r="G141" s="4">
        <v>2500</v>
      </c>
      <c r="H141" s="4">
        <v>6</v>
      </c>
      <c r="I141" s="4"/>
      <c r="J141" s="4"/>
      <c r="K141" s="5"/>
      <c r="L141" s="5">
        <f t="shared" si="95"/>
        <v>665.86000049999984</v>
      </c>
      <c r="M141" s="5">
        <f t="shared" ref="M141" si="101">G141*G141*1.05*1.05*(K141+H141)*7.85/1000000</f>
        <v>324.54843749999998</v>
      </c>
      <c r="N141" s="5">
        <f t="shared" si="96"/>
        <v>133.17200009999996</v>
      </c>
      <c r="O141" s="8">
        <f>(L141+M141+N141)*F2*2</f>
        <v>224716.08761999995</v>
      </c>
      <c r="P141" s="5">
        <f t="shared" si="97"/>
        <v>1123.5804380999998</v>
      </c>
      <c r="Q141">
        <f>D141*1500</f>
        <v>30000</v>
      </c>
      <c r="R141" s="28">
        <f t="shared" si="98"/>
        <v>31123.580438099998</v>
      </c>
      <c r="S141" s="28">
        <f t="shared" si="100"/>
        <v>31123.580438099998</v>
      </c>
    </row>
    <row r="142" spans="1:30" x14ac:dyDescent="0.25">
      <c r="A142" t="s">
        <v>61</v>
      </c>
      <c r="B142" t="s">
        <v>93</v>
      </c>
      <c r="D142">
        <v>25</v>
      </c>
      <c r="E142">
        <v>3000</v>
      </c>
      <c r="F142" s="4">
        <f t="shared" si="94"/>
        <v>3257.3514550366253</v>
      </c>
      <c r="G142">
        <v>3000</v>
      </c>
      <c r="H142" s="4">
        <v>6</v>
      </c>
      <c r="I142" s="4">
        <v>5</v>
      </c>
      <c r="J142" t="s">
        <v>100</v>
      </c>
      <c r="K142" s="5"/>
      <c r="L142" s="5">
        <f t="shared" si="95"/>
        <v>1220.7433342500001</v>
      </c>
      <c r="M142" s="5">
        <f t="shared" si="99"/>
        <v>467.34974999999997</v>
      </c>
      <c r="N142" s="5">
        <f t="shared" si="96"/>
        <v>244.14866685000004</v>
      </c>
      <c r="O142" s="8">
        <f>(L142+M142+N142)*F2*2</f>
        <v>386448.35022000008</v>
      </c>
      <c r="P142" s="5">
        <f t="shared" si="97"/>
        <v>1932.2417511000003</v>
      </c>
      <c r="Q142">
        <f>D142*1000</f>
        <v>25000</v>
      </c>
      <c r="R142" s="5">
        <f t="shared" si="98"/>
        <v>26932.241751100002</v>
      </c>
      <c r="S142" s="5">
        <f t="shared" si="100"/>
        <v>26932.241751100002</v>
      </c>
    </row>
    <row r="143" spans="1:30" x14ac:dyDescent="0.25">
      <c r="A143" t="s">
        <v>60</v>
      </c>
      <c r="B143" t="s">
        <v>94</v>
      </c>
      <c r="D143">
        <v>20</v>
      </c>
      <c r="E143">
        <v>3000</v>
      </c>
      <c r="F143" s="4">
        <f t="shared" si="94"/>
        <v>2913.4637120278971</v>
      </c>
      <c r="G143">
        <v>3000</v>
      </c>
      <c r="H143" s="4">
        <v>6</v>
      </c>
      <c r="I143" s="4">
        <v>5</v>
      </c>
      <c r="J143" t="s">
        <v>100</v>
      </c>
      <c r="K143" s="5"/>
      <c r="L143" s="5">
        <f t="shared" si="95"/>
        <v>1220.7433342500001</v>
      </c>
      <c r="M143" s="5">
        <f t="shared" si="99"/>
        <v>467.34974999999997</v>
      </c>
      <c r="N143" s="5">
        <f t="shared" si="96"/>
        <v>244.14866685000004</v>
      </c>
      <c r="O143" s="8">
        <f>(L143+M143+N143)*F2*2</f>
        <v>386448.35022000008</v>
      </c>
      <c r="P143" s="5">
        <f t="shared" si="97"/>
        <v>1932.2417511000003</v>
      </c>
      <c r="Q143">
        <f t="shared" ref="Q143" si="102">D143*800</f>
        <v>16000</v>
      </c>
      <c r="R143" s="5">
        <f t="shared" si="98"/>
        <v>17932.241751100002</v>
      </c>
      <c r="S143" s="5">
        <f t="shared" si="100"/>
        <v>17932.241751100002</v>
      </c>
      <c r="Y143" s="5"/>
      <c r="Z143" s="5"/>
    </row>
    <row r="144" spans="1:30" x14ac:dyDescent="0.25">
      <c r="P144" s="8"/>
      <c r="Q144" s="20"/>
      <c r="R144" s="8"/>
      <c r="S144" s="8"/>
      <c r="Y144" s="5"/>
      <c r="Z144" s="5"/>
    </row>
    <row r="145" spans="1:31" x14ac:dyDescent="0.25">
      <c r="N145" t="s">
        <v>13</v>
      </c>
      <c r="O145" s="8">
        <f>SUM(O124:O143)</f>
        <v>8017037.3659984013</v>
      </c>
      <c r="P145" s="8"/>
      <c r="Q145" s="20"/>
      <c r="R145" s="8"/>
      <c r="S145" s="8"/>
      <c r="Y145" s="5"/>
      <c r="Z145" s="5"/>
    </row>
    <row r="146" spans="1:31" x14ac:dyDescent="0.25">
      <c r="A146" t="s">
        <v>128</v>
      </c>
      <c r="E146" t="s">
        <v>125</v>
      </c>
      <c r="F146" s="13">
        <f>F148/2</f>
        <v>296.11111111111109</v>
      </c>
      <c r="G146">
        <v>300</v>
      </c>
      <c r="O146" s="8"/>
      <c r="P146" s="8"/>
      <c r="Q146" s="8"/>
      <c r="R146" s="8"/>
      <c r="S146" s="8"/>
      <c r="Y146" s="5"/>
      <c r="Z146" s="5"/>
    </row>
    <row r="147" spans="1:31" x14ac:dyDescent="0.25">
      <c r="A147" t="s">
        <v>126</v>
      </c>
      <c r="O147" s="8"/>
      <c r="P147" s="8"/>
      <c r="Q147" s="8"/>
      <c r="R147" s="8"/>
      <c r="S147" s="8"/>
      <c r="Y147" s="5"/>
      <c r="Z147" s="5"/>
    </row>
    <row r="148" spans="1:31" x14ac:dyDescent="0.25">
      <c r="A148" t="s">
        <v>16</v>
      </c>
      <c r="E148" t="s">
        <v>18</v>
      </c>
      <c r="F148" s="4">
        <f>(D124*2+D127+D129+D129+D130)*40000/450/2</f>
        <v>592.22222222222217</v>
      </c>
      <c r="G148">
        <v>600</v>
      </c>
      <c r="Y148" s="5"/>
      <c r="Z148" s="5"/>
    </row>
    <row r="149" spans="1:31" x14ac:dyDescent="0.25">
      <c r="A149" t="s">
        <v>17</v>
      </c>
      <c r="E149" t="s">
        <v>19</v>
      </c>
      <c r="G149">
        <f>G148*450/3/600</f>
        <v>150</v>
      </c>
      <c r="Y149" s="5"/>
      <c r="Z149" s="5"/>
    </row>
    <row r="150" spans="1:31" x14ac:dyDescent="0.25">
      <c r="E150" t="s">
        <v>102</v>
      </c>
      <c r="G150" s="4">
        <f>G148/100*7*18</f>
        <v>756</v>
      </c>
      <c r="Y150" s="5"/>
      <c r="Z150" s="5"/>
    </row>
    <row r="151" spans="1:31" x14ac:dyDescent="0.25">
      <c r="G151" s="4"/>
      <c r="Y151" s="5"/>
      <c r="Z151" s="5"/>
    </row>
    <row r="152" spans="1:31" ht="18.75" customHeight="1" x14ac:dyDescent="0.25">
      <c r="A152" s="6" t="s">
        <v>0</v>
      </c>
      <c r="B152" s="45"/>
      <c r="C152" s="45"/>
    </row>
    <row r="153" spans="1:31" x14ac:dyDescent="0.25">
      <c r="A153">
        <v>2</v>
      </c>
      <c r="B153" s="1" t="s">
        <v>157</v>
      </c>
      <c r="C153" t="s">
        <v>103</v>
      </c>
    </row>
    <row r="154" spans="1:31" ht="45" x14ac:dyDescent="0.25">
      <c r="A154" s="6" t="s">
        <v>3</v>
      </c>
      <c r="B154" s="6"/>
      <c r="C154" s="6"/>
      <c r="D154" s="6" t="s">
        <v>2</v>
      </c>
      <c r="E154" s="6" t="s">
        <v>4</v>
      </c>
      <c r="F154" s="6" t="s">
        <v>5</v>
      </c>
      <c r="G154" s="6" t="s">
        <v>6</v>
      </c>
      <c r="H154" s="45" t="s">
        <v>10</v>
      </c>
      <c r="I154" s="46"/>
      <c r="L154" s="9" t="s">
        <v>131</v>
      </c>
      <c r="M154" s="9" t="s">
        <v>12</v>
      </c>
      <c r="N154" s="9" t="s">
        <v>156</v>
      </c>
      <c r="O154" s="7" t="s">
        <v>11</v>
      </c>
      <c r="P154" s="27" t="s">
        <v>46</v>
      </c>
      <c r="Q154" s="27" t="s">
        <v>48</v>
      </c>
      <c r="R154" s="27" t="s">
        <v>47</v>
      </c>
      <c r="S154" s="27" t="s">
        <v>49</v>
      </c>
      <c r="T154" s="7" t="s">
        <v>42</v>
      </c>
      <c r="U154" s="36" t="s">
        <v>104</v>
      </c>
      <c r="V154" s="36" t="s">
        <v>43</v>
      </c>
      <c r="W154" s="36" t="s">
        <v>44</v>
      </c>
      <c r="X154" s="11"/>
      <c r="Y154" s="18"/>
      <c r="Z154" s="18"/>
      <c r="AB154" s="19"/>
      <c r="AC154" s="19"/>
      <c r="AD154" s="19"/>
      <c r="AE154" s="19"/>
    </row>
    <row r="155" spans="1:31" x14ac:dyDescent="0.25">
      <c r="A155" s="3" t="s">
        <v>53</v>
      </c>
      <c r="B155" t="s">
        <v>120</v>
      </c>
      <c r="D155" s="5">
        <f>A153*0.65</f>
        <v>1.3</v>
      </c>
      <c r="E155">
        <v>1200</v>
      </c>
      <c r="F155" s="4">
        <f>SQRT(D155*4*1000/E155/3.14159)*1000</f>
        <v>1174.4547693341785</v>
      </c>
      <c r="G155">
        <v>1000</v>
      </c>
      <c r="H155" s="4">
        <v>6</v>
      </c>
      <c r="I155" s="4"/>
      <c r="J155" t="s">
        <v>100</v>
      </c>
      <c r="L155" s="5">
        <f>3.14159*G155*E155*H155*7.85*1.5/1000000</f>
        <v>266.34400019999993</v>
      </c>
      <c r="M155" s="5">
        <f>G155*G155*1.22*1.22*H155*7.85*2/1000000</f>
        <v>140.20728</v>
      </c>
      <c r="N155" s="5">
        <f t="shared" ref="N155:N164" si="103">(K155+L155)*0.2</f>
        <v>53.268800039999988</v>
      </c>
      <c r="O155" s="8">
        <f>(L155+M155+N155)*E2*1.4</f>
        <v>128749.62246719998</v>
      </c>
      <c r="P155" s="5">
        <f t="shared" ref="P155" si="104">L155+M155+N155</f>
        <v>459.82008023999992</v>
      </c>
      <c r="Q155">
        <f>D155*1500</f>
        <v>1950</v>
      </c>
      <c r="R155" s="5">
        <f t="shared" ref="R155" si="105">P155+Q155</f>
        <v>2409.8200802399997</v>
      </c>
      <c r="S155" s="5">
        <f>R155</f>
        <v>2409.8200802399997</v>
      </c>
      <c r="T155" s="8" t="s">
        <v>50</v>
      </c>
      <c r="U155" s="20">
        <f>G179</f>
        <v>75</v>
      </c>
      <c r="V155" s="5">
        <f>SQRT(U155/1000/60/3.14)*1000</f>
        <v>19.952172111690555</v>
      </c>
      <c r="W155" s="5">
        <f>SQRT(U155*3/4/1000/60/3.14)*1000</f>
        <v>17.279087909403426</v>
      </c>
      <c r="X155" s="47" t="s">
        <v>79</v>
      </c>
      <c r="Y155" s="47"/>
      <c r="Z155" s="21"/>
      <c r="AB155" s="21"/>
      <c r="AC155" s="21"/>
      <c r="AD155" s="21"/>
      <c r="AE155" s="21"/>
    </row>
    <row r="156" spans="1:31" x14ac:dyDescent="0.25">
      <c r="A156" s="3" t="s">
        <v>118</v>
      </c>
      <c r="B156" t="s">
        <v>117</v>
      </c>
      <c r="C156" s="25"/>
      <c r="D156" s="23">
        <f>A153*0.2</f>
        <v>0.4</v>
      </c>
      <c r="E156" s="23">
        <v>1200</v>
      </c>
      <c r="F156" s="24">
        <f>SQRT(D156*4*1000/E156/3.14159)*1000</f>
        <v>651.47029100732505</v>
      </c>
      <c r="G156" s="23">
        <v>650</v>
      </c>
      <c r="H156" s="24">
        <v>5</v>
      </c>
      <c r="I156" s="28"/>
      <c r="J156" t="s">
        <v>100</v>
      </c>
      <c r="L156" s="5">
        <f>3.14159*G156*E156*H156*7.85/1000000</f>
        <v>96.179777849999994</v>
      </c>
      <c r="M156" s="5">
        <f>G156*G156*1.22*1.22*H156*7.85*2/1000000</f>
        <v>49.364646499999999</v>
      </c>
      <c r="N156" s="5">
        <f t="shared" si="103"/>
        <v>19.235955570000002</v>
      </c>
      <c r="O156" s="8">
        <f>(L156+M156+N156)*E2</f>
        <v>32956.075983999996</v>
      </c>
      <c r="P156" s="5">
        <f t="shared" ref="P156:P164" si="106">L156+M156+N156</f>
        <v>164.78037991999997</v>
      </c>
      <c r="Q156">
        <f>D156*1500</f>
        <v>600</v>
      </c>
      <c r="R156" s="5">
        <f t="shared" ref="R156:R164" si="107">P156+Q156</f>
        <v>764.78037991999997</v>
      </c>
      <c r="S156" s="5">
        <f t="shared" ref="S156:S164" si="108">R156</f>
        <v>764.78037991999997</v>
      </c>
      <c r="T156" s="8" t="s">
        <v>65</v>
      </c>
      <c r="U156" s="20">
        <f>D155*1000/15</f>
        <v>86.666666666666671</v>
      </c>
      <c r="V156" s="5">
        <f>SQRT(U156/1000/60/3.14)*1000</f>
        <v>21.447940560381788</v>
      </c>
      <c r="W156" s="5">
        <f>SQRT(U156*3/4/1000/60/3.14)*1000</f>
        <v>18.574461384149274</v>
      </c>
      <c r="X156" s="5" t="s">
        <v>80</v>
      </c>
      <c r="Y156" s="4">
        <f>D155*1000*0.8</f>
        <v>1040</v>
      </c>
      <c r="Z156" s="21"/>
      <c r="AB156" s="21"/>
      <c r="AC156" s="21"/>
      <c r="AD156" s="21"/>
      <c r="AE156" s="21"/>
    </row>
    <row r="157" spans="1:31" x14ac:dyDescent="0.25">
      <c r="A157" s="3" t="s">
        <v>52</v>
      </c>
      <c r="B157" t="s">
        <v>95</v>
      </c>
      <c r="C157" s="25"/>
      <c r="D157" s="23">
        <f>A153*0.6</f>
        <v>1.2</v>
      </c>
      <c r="E157" s="23">
        <v>1800</v>
      </c>
      <c r="F157" s="24">
        <f>SQRT(D157*4*1000/E157/3.14159)*1000</f>
        <v>921.31812102570598</v>
      </c>
      <c r="G157" s="23">
        <v>900</v>
      </c>
      <c r="H157" s="24">
        <v>5</v>
      </c>
      <c r="I157" s="28"/>
      <c r="J157" t="s">
        <v>100</v>
      </c>
      <c r="L157" s="5">
        <f>3.14159*G157*E157*H157*7.85*1.5/1000000</f>
        <v>299.63700022499995</v>
      </c>
      <c r="M157" s="5">
        <f>G157*G157*1.22*1.22*H157*7.85*2/1000000</f>
        <v>94.639914000000005</v>
      </c>
      <c r="N157" s="5">
        <f t="shared" si="103"/>
        <v>59.927400044999992</v>
      </c>
      <c r="O157" s="8">
        <f>(L157+M157+N157)*E2</f>
        <v>90840.862853999992</v>
      </c>
      <c r="P157" s="5">
        <f t="shared" si="106"/>
        <v>454.20431426999994</v>
      </c>
      <c r="Q157">
        <f>D157*900</f>
        <v>1080</v>
      </c>
      <c r="R157" s="5">
        <f t="shared" si="107"/>
        <v>1534.2043142699999</v>
      </c>
      <c r="S157" s="5">
        <f t="shared" si="108"/>
        <v>1534.2043142699999</v>
      </c>
      <c r="T157" s="8" t="s">
        <v>66</v>
      </c>
      <c r="U157" s="20">
        <f>D158*1000/15</f>
        <v>86.666666666666671</v>
      </c>
      <c r="V157" s="5">
        <f t="shared" ref="V157:V168" si="109">SQRT(U157/1000/60/3.14)*1000</f>
        <v>21.447940560381788</v>
      </c>
      <c r="W157" s="5">
        <f t="shared" ref="W157:W168" si="110">SQRT(U157*3/4/1000/60/3.14)*1000</f>
        <v>18.574461384149274</v>
      </c>
      <c r="X157" s="5" t="s">
        <v>81</v>
      </c>
      <c r="Y157" s="4">
        <f>D155*1000*0.1</f>
        <v>130</v>
      </c>
      <c r="Z157" s="5"/>
      <c r="AB157" s="5"/>
      <c r="AD157" s="5"/>
    </row>
    <row r="158" spans="1:31" x14ac:dyDescent="0.25">
      <c r="A158" t="s">
        <v>56</v>
      </c>
      <c r="B158" t="s">
        <v>89</v>
      </c>
      <c r="D158">
        <f>A153*0.65</f>
        <v>1.3</v>
      </c>
      <c r="E158">
        <v>2400</v>
      </c>
      <c r="F158" s="4">
        <f t="shared" ref="F158:F159" si="111">SQRT(D158*4*1000/E158/3.14159)*1000</f>
        <v>830.46493159308</v>
      </c>
      <c r="G158">
        <v>850</v>
      </c>
      <c r="H158" s="4">
        <v>6</v>
      </c>
      <c r="I158" s="4"/>
      <c r="J158" t="s">
        <v>101</v>
      </c>
      <c r="L158" s="5">
        <f>3.14159*G158*E158*H158*8.15/1000000+3.14159*G158*E158*H158*7.85/2000000</f>
        <v>464.32071881999991</v>
      </c>
      <c r="M158" s="5">
        <f>G158*G158*1.22*1.22*H158*8.15*2/1000000</f>
        <v>105.1710882</v>
      </c>
      <c r="N158" s="5">
        <f t="shared" si="103"/>
        <v>92.864143763999991</v>
      </c>
      <c r="O158" s="8">
        <f>(L158+M158+N158)*D2*1.2</f>
        <v>397413.57047039992</v>
      </c>
      <c r="P158" s="5">
        <f t="shared" si="106"/>
        <v>662.3559507839999</v>
      </c>
      <c r="Q158">
        <f>D158*1200</f>
        <v>1560</v>
      </c>
      <c r="R158" s="5">
        <f t="shared" si="107"/>
        <v>2222.355950784</v>
      </c>
      <c r="S158" s="5">
        <f t="shared" si="108"/>
        <v>2222.355950784</v>
      </c>
      <c r="T158" s="8" t="s">
        <v>67</v>
      </c>
      <c r="U158" s="20">
        <f>D159*1000*0.1/60</f>
        <v>2.1666666666666665</v>
      </c>
      <c r="V158" s="5">
        <f t="shared" si="109"/>
        <v>3.3912171645357296</v>
      </c>
      <c r="W158" s="5">
        <f t="shared" si="110"/>
        <v>2.9368802142377746</v>
      </c>
      <c r="X158" s="5" t="s">
        <v>82</v>
      </c>
      <c r="Y158" s="4">
        <f>D155*1000*0.00625</f>
        <v>8.125</v>
      </c>
      <c r="Z158" s="5"/>
      <c r="AB158" s="5"/>
      <c r="AD158" s="5"/>
    </row>
    <row r="159" spans="1:31" x14ac:dyDescent="0.25">
      <c r="A159" t="s">
        <v>54</v>
      </c>
      <c r="B159" t="s">
        <v>141</v>
      </c>
      <c r="D159">
        <f>A153*0.65</f>
        <v>1.3</v>
      </c>
      <c r="E159">
        <v>2400</v>
      </c>
      <c r="F159" s="4">
        <f t="shared" si="111"/>
        <v>830.46493159308</v>
      </c>
      <c r="G159">
        <v>850</v>
      </c>
      <c r="H159" s="4">
        <v>6</v>
      </c>
      <c r="I159" s="4"/>
      <c r="J159" t="s">
        <v>100</v>
      </c>
      <c r="L159" s="5">
        <f>3.14159*G159*E159*H159*7.85/1000000</f>
        <v>301.85653355999995</v>
      </c>
      <c r="M159" s="5">
        <f>G159*G159*1.22*1.22*H159*7.85*2/1000000</f>
        <v>101.2997598</v>
      </c>
      <c r="N159" s="5">
        <f t="shared" si="103"/>
        <v>60.371306711999992</v>
      </c>
      <c r="O159" s="8">
        <f>(L159+M159+N159)*E2*3*1.25</f>
        <v>347645.7000539999</v>
      </c>
      <c r="P159" s="5">
        <f t="shared" si="106"/>
        <v>463.52760007199993</v>
      </c>
      <c r="Q159">
        <f>D159*1200</f>
        <v>1560</v>
      </c>
      <c r="R159" s="5">
        <f t="shared" si="107"/>
        <v>2023.527600072</v>
      </c>
      <c r="S159" s="5">
        <f t="shared" si="108"/>
        <v>2023.527600072</v>
      </c>
      <c r="T159" s="8" t="s">
        <v>51</v>
      </c>
      <c r="U159" s="20">
        <f>D159*1000*0.9/60</f>
        <v>19.5</v>
      </c>
      <c r="V159" s="5">
        <f t="shared" si="109"/>
        <v>10.173651493607188</v>
      </c>
      <c r="W159" s="5">
        <f t="shared" si="110"/>
        <v>8.8106406427133237</v>
      </c>
      <c r="X159" s="44" t="s">
        <v>83</v>
      </c>
      <c r="Y159" s="44"/>
      <c r="Z159" s="5"/>
      <c r="AB159" s="5"/>
      <c r="AD159" s="5"/>
    </row>
    <row r="160" spans="1:31" x14ac:dyDescent="0.25">
      <c r="A160" t="s">
        <v>57</v>
      </c>
      <c r="B160" t="s">
        <v>146</v>
      </c>
      <c r="D160">
        <f>D158*0.15</f>
        <v>0.19500000000000001</v>
      </c>
      <c r="E160" s="34">
        <v>2000</v>
      </c>
      <c r="F160" s="4">
        <f>SQRT(D160*4*1000/E160/3.14159)*1000</f>
        <v>352.33643080025354</v>
      </c>
      <c r="G160">
        <v>350</v>
      </c>
      <c r="H160" s="4">
        <v>5</v>
      </c>
      <c r="I160" s="4"/>
      <c r="J160" t="s">
        <v>100</v>
      </c>
      <c r="L160" s="5">
        <f>3.14159*G160*E160*H160*7.85*2/1000000</f>
        <v>172.6303705</v>
      </c>
      <c r="M160" s="5">
        <f>G160*G160*1.22*1.22*H160*7.85*2/1000000</f>
        <v>14.3128265</v>
      </c>
      <c r="N160" s="5">
        <f t="shared" si="103"/>
        <v>34.526074100000002</v>
      </c>
      <c r="O160" s="8">
        <f>(L160+M160+N160)*E2*2</f>
        <v>88587.708440000002</v>
      </c>
      <c r="P160" s="5">
        <f t="shared" si="106"/>
        <v>221.46927110000001</v>
      </c>
      <c r="Q160">
        <f>D160*1000</f>
        <v>195</v>
      </c>
      <c r="R160" s="5">
        <f t="shared" si="107"/>
        <v>416.46927110000001</v>
      </c>
      <c r="S160" s="5">
        <f t="shared" si="108"/>
        <v>416.46927110000001</v>
      </c>
      <c r="T160" s="8" t="s">
        <v>68</v>
      </c>
      <c r="U160" s="20">
        <f>U159</f>
        <v>19.5</v>
      </c>
      <c r="V160" s="5">
        <f t="shared" si="109"/>
        <v>10.173651493607188</v>
      </c>
      <c r="W160" s="5">
        <f t="shared" si="110"/>
        <v>8.8106406427133237</v>
      </c>
      <c r="X160" s="5" t="s">
        <v>84</v>
      </c>
      <c r="Y160" s="4">
        <f>D158*1000*0.8</f>
        <v>1040</v>
      </c>
      <c r="Z160" s="5"/>
      <c r="AB160" s="5"/>
      <c r="AD160" s="5"/>
    </row>
    <row r="161" spans="1:30" x14ac:dyDescent="0.25">
      <c r="A161" t="s">
        <v>55</v>
      </c>
      <c r="B161" t="s">
        <v>97</v>
      </c>
      <c r="D161">
        <f>D158*0.8</f>
        <v>1.04</v>
      </c>
      <c r="E161" s="34">
        <v>2000</v>
      </c>
      <c r="F161" s="4">
        <f>SQRT(D161*4*1000/E161/3.14159)*1000</f>
        <v>813.68613267135322</v>
      </c>
      <c r="G161">
        <v>800</v>
      </c>
      <c r="H161" s="4">
        <v>5</v>
      </c>
      <c r="I161" s="4"/>
      <c r="J161" t="s">
        <v>100</v>
      </c>
      <c r="L161" s="5">
        <f>3.14159*G161*E161*H161*7.85*2/1000000</f>
        <v>394.58370400000001</v>
      </c>
      <c r="M161" s="5">
        <f>G161*G161*1.22*1.22*H161*7.85*2/1000000</f>
        <v>74.777215999999996</v>
      </c>
      <c r="N161" s="5">
        <f t="shared" si="103"/>
        <v>78.916740800000014</v>
      </c>
      <c r="O161" s="8">
        <f>(L161+M161+N161)*E2*1.4</f>
        <v>153517.745024</v>
      </c>
      <c r="P161" s="5">
        <f t="shared" si="106"/>
        <v>548.27766080000004</v>
      </c>
      <c r="Q161">
        <f>D161*1200</f>
        <v>1248</v>
      </c>
      <c r="R161" s="5">
        <f t="shared" si="107"/>
        <v>1796.2776607999999</v>
      </c>
      <c r="S161" s="5">
        <f t="shared" si="108"/>
        <v>1796.2776607999999</v>
      </c>
      <c r="T161" s="8" t="s">
        <v>69</v>
      </c>
      <c r="U161" s="20">
        <f>D160*1000/60</f>
        <v>3.25</v>
      </c>
      <c r="V161" s="5">
        <f t="shared" si="109"/>
        <v>4.153375830040261</v>
      </c>
      <c r="W161" s="5">
        <f t="shared" si="110"/>
        <v>3.5969289802791451</v>
      </c>
      <c r="X161" s="5" t="s">
        <v>81</v>
      </c>
      <c r="Y161" s="4"/>
      <c r="Z161" s="5"/>
      <c r="AB161" s="5"/>
      <c r="AD161" s="5"/>
    </row>
    <row r="162" spans="1:30" x14ac:dyDescent="0.25">
      <c r="A162" t="s">
        <v>110</v>
      </c>
      <c r="B162" t="s">
        <v>132</v>
      </c>
      <c r="E162" s="34">
        <v>3000</v>
      </c>
      <c r="F162" s="4">
        <v>300</v>
      </c>
      <c r="G162">
        <v>300</v>
      </c>
      <c r="H162" s="4">
        <v>3</v>
      </c>
      <c r="I162" s="4"/>
      <c r="J162" t="s">
        <v>100</v>
      </c>
      <c r="L162" s="5">
        <f>3.14159*G162*E162*H162*7.85/1000000</f>
        <v>66.586000049999996</v>
      </c>
      <c r="M162" s="5">
        <f>G162*G162*1.22*1.22*H162*7.85*2/1000000</f>
        <v>6.3093275999999996</v>
      </c>
      <c r="N162" s="5">
        <f t="shared" si="103"/>
        <v>13.317200010000001</v>
      </c>
      <c r="O162" s="8">
        <f>(L162+M162+N162)*E2*3*5</f>
        <v>258637.58298000004</v>
      </c>
      <c r="P162" s="5">
        <f t="shared" si="106"/>
        <v>86.212527660000006</v>
      </c>
      <c r="Q162">
        <v>50</v>
      </c>
      <c r="R162" s="5">
        <f t="shared" si="107"/>
        <v>136.21252766000001</v>
      </c>
      <c r="S162" s="5">
        <f t="shared" si="108"/>
        <v>136.21252766000001</v>
      </c>
      <c r="T162" s="8" t="s">
        <v>70</v>
      </c>
      <c r="U162" s="20">
        <f>D161*1000/60</f>
        <v>17.333333333333332</v>
      </c>
      <c r="V162" s="5">
        <f t="shared" si="109"/>
        <v>9.5918106140777208</v>
      </c>
      <c r="W162" s="5">
        <f t="shared" si="110"/>
        <v>8.306751660080522</v>
      </c>
      <c r="X162" s="5" t="s">
        <v>85</v>
      </c>
      <c r="Y162" s="4">
        <f>Y158*L160/2/L156</f>
        <v>7.2916666666666661</v>
      </c>
      <c r="Z162" s="5"/>
      <c r="AB162" s="5"/>
      <c r="AD162" s="5"/>
    </row>
    <row r="163" spans="1:30" x14ac:dyDescent="0.25">
      <c r="A163" t="s">
        <v>58</v>
      </c>
      <c r="B163" t="s">
        <v>147</v>
      </c>
      <c r="D163">
        <f>D155*0.01</f>
        <v>1.3000000000000001E-2</v>
      </c>
      <c r="E163">
        <v>2400</v>
      </c>
      <c r="F163" s="4">
        <f>SQRT(D163*4*1000/E163/3.14159)*1000</f>
        <v>83.046493159308014</v>
      </c>
      <c r="G163">
        <v>300</v>
      </c>
      <c r="H163" s="4">
        <v>3</v>
      </c>
      <c r="I163" s="4"/>
      <c r="J163" t="s">
        <v>106</v>
      </c>
      <c r="L163" s="5">
        <f>3.14159*G163*E163*(H163+I163)*8.15/1000000</f>
        <v>55.30455036</v>
      </c>
      <c r="M163" s="5">
        <f>G163*G163*1.05*1.05*H163*8.15*2/1000000</f>
        <v>4.8521025</v>
      </c>
      <c r="N163" s="5">
        <f t="shared" si="103"/>
        <v>11.060910072</v>
      </c>
      <c r="O163" s="8">
        <f>(L163+M163+N163)*D2*2</f>
        <v>71217.562932000001</v>
      </c>
      <c r="P163" s="5">
        <f t="shared" si="106"/>
        <v>71.217562932000007</v>
      </c>
      <c r="Q163">
        <f t="shared" ref="Q163:Q164" si="112">D163*800</f>
        <v>10.4</v>
      </c>
      <c r="R163" s="5">
        <f t="shared" si="107"/>
        <v>81.617562932000013</v>
      </c>
      <c r="S163" s="5">
        <f t="shared" si="108"/>
        <v>81.617562932000013</v>
      </c>
      <c r="T163" s="8" t="s">
        <v>71</v>
      </c>
      <c r="U163" s="20">
        <f>10000/60</f>
        <v>166.66666666666666</v>
      </c>
      <c r="V163" s="5">
        <f t="shared" si="109"/>
        <v>29.742942093677069</v>
      </c>
      <c r="W163" s="5">
        <f t="shared" si="110"/>
        <v>25.75814343641386</v>
      </c>
      <c r="X163" s="44" t="s">
        <v>86</v>
      </c>
      <c r="Y163" s="44"/>
      <c r="Z163" s="5"/>
      <c r="AB163" s="5"/>
      <c r="AD163" s="5"/>
    </row>
    <row r="164" spans="1:30" x14ac:dyDescent="0.25">
      <c r="A164" t="s">
        <v>59</v>
      </c>
      <c r="B164" t="s">
        <v>134</v>
      </c>
      <c r="D164">
        <f>D158*0.02</f>
        <v>2.6000000000000002E-2</v>
      </c>
      <c r="E164">
        <v>2400</v>
      </c>
      <c r="F164" s="4">
        <f>SQRT(D164*4*1000/E164/3.14159)*1000</f>
        <v>117.44547693341785</v>
      </c>
      <c r="G164">
        <v>300</v>
      </c>
      <c r="H164" s="4">
        <v>3</v>
      </c>
      <c r="I164" s="4"/>
      <c r="J164" t="s">
        <v>100</v>
      </c>
      <c r="L164" s="5">
        <f>3.14159*G164*E164*H164*7.85/1000000</f>
        <v>53.268800039999995</v>
      </c>
      <c r="M164" s="5">
        <f>G164*G164*1.05*1.05*H164*7.85*2/1000000</f>
        <v>4.6734974999999999</v>
      </c>
      <c r="N164" s="5">
        <f t="shared" si="103"/>
        <v>10.653760007999999</v>
      </c>
      <c r="O164" s="8">
        <f>(L164+M164+N164)*E2*2</f>
        <v>27438.423019200003</v>
      </c>
      <c r="P164" s="5">
        <f t="shared" si="106"/>
        <v>68.596057548000005</v>
      </c>
      <c r="Q164">
        <f t="shared" si="112"/>
        <v>20.8</v>
      </c>
      <c r="R164" s="5">
        <f t="shared" si="107"/>
        <v>89.396057548000002</v>
      </c>
      <c r="S164" s="5">
        <f t="shared" si="108"/>
        <v>89.396057548000002</v>
      </c>
      <c r="T164" s="8" t="s">
        <v>72</v>
      </c>
      <c r="U164" s="20">
        <f>G178*1.2/60</f>
        <v>6</v>
      </c>
      <c r="V164" s="5">
        <f t="shared" si="109"/>
        <v>5.6433264798310026</v>
      </c>
      <c r="W164" s="5">
        <f t="shared" si="110"/>
        <v>4.8872640933830587</v>
      </c>
      <c r="X164" s="5" t="s">
        <v>84</v>
      </c>
      <c r="Y164" s="4">
        <f>D158*1000*0.8</f>
        <v>1040</v>
      </c>
      <c r="Z164" s="5"/>
      <c r="AB164" s="5"/>
      <c r="AD164" s="5"/>
    </row>
    <row r="165" spans="1:30" x14ac:dyDescent="0.25">
      <c r="A165" t="s">
        <v>116</v>
      </c>
      <c r="B165" t="s">
        <v>135</v>
      </c>
      <c r="D165" s="38">
        <f t="shared" ref="D165:D166" si="113">3.14159*0.019*E165*14/1000</f>
        <v>1.0027955279999998</v>
      </c>
      <c r="E165">
        <v>1200</v>
      </c>
      <c r="J165" t="s">
        <v>100</v>
      </c>
      <c r="O165" s="8">
        <f>150000*1.25</f>
        <v>187500</v>
      </c>
      <c r="T165" s="8" t="s">
        <v>73</v>
      </c>
      <c r="U165" s="20">
        <f>D156*1000/60</f>
        <v>6.666666666666667</v>
      </c>
      <c r="V165" s="5">
        <f t="shared" si="109"/>
        <v>5.9485884187354134</v>
      </c>
      <c r="W165" s="5">
        <f t="shared" si="110"/>
        <v>5.1516286872827717</v>
      </c>
      <c r="X165" s="5" t="s">
        <v>81</v>
      </c>
      <c r="Y165" s="4">
        <f>Y164*0.2</f>
        <v>208</v>
      </c>
      <c r="Z165" s="5"/>
      <c r="AB165" s="5"/>
      <c r="AD165" s="5"/>
    </row>
    <row r="166" spans="1:30" x14ac:dyDescent="0.25">
      <c r="A166" t="s">
        <v>107</v>
      </c>
      <c r="B166" t="s">
        <v>109</v>
      </c>
      <c r="D166" s="38">
        <f t="shared" si="113"/>
        <v>1.5041932919999998</v>
      </c>
      <c r="E166">
        <v>1800</v>
      </c>
      <c r="J166" t="s">
        <v>100</v>
      </c>
      <c r="O166" s="8">
        <v>100000</v>
      </c>
      <c r="T166" s="8" t="s">
        <v>74</v>
      </c>
      <c r="U166" s="20">
        <f>10000/60</f>
        <v>166.66666666666666</v>
      </c>
      <c r="V166" s="5">
        <f t="shared" si="109"/>
        <v>29.742942093677069</v>
      </c>
      <c r="W166" s="5">
        <f t="shared" si="110"/>
        <v>25.75814343641386</v>
      </c>
      <c r="X166" s="5" t="s">
        <v>85</v>
      </c>
      <c r="Z166" s="5"/>
      <c r="AB166" s="5"/>
      <c r="AD166" s="5"/>
    </row>
    <row r="167" spans="1:30" x14ac:dyDescent="0.25">
      <c r="A167" t="s">
        <v>108</v>
      </c>
      <c r="B167" t="s">
        <v>155</v>
      </c>
      <c r="D167" s="38">
        <f>3.14159*0.019*E167*10/1000</f>
        <v>1.4922552499999997</v>
      </c>
      <c r="E167">
        <v>2500</v>
      </c>
      <c r="J167" t="s">
        <v>100</v>
      </c>
      <c r="O167" s="8">
        <v>100000</v>
      </c>
      <c r="T167" s="8" t="s">
        <v>75</v>
      </c>
      <c r="U167" s="20">
        <f>D157*1000/60</f>
        <v>20</v>
      </c>
      <c r="V167" s="5">
        <f t="shared" si="109"/>
        <v>10.303257374565543</v>
      </c>
      <c r="W167" s="5">
        <f t="shared" si="110"/>
        <v>8.9228826281031193</v>
      </c>
      <c r="X167" s="44" t="s">
        <v>87</v>
      </c>
      <c r="Y167" s="44"/>
      <c r="Z167" s="5"/>
      <c r="AB167" s="5"/>
      <c r="AD167" s="5"/>
    </row>
    <row r="168" spans="1:30" x14ac:dyDescent="0.25">
      <c r="A168" t="s">
        <v>63</v>
      </c>
      <c r="B168" t="s">
        <v>90</v>
      </c>
      <c r="D168">
        <v>50</v>
      </c>
      <c r="E168">
        <v>5000</v>
      </c>
      <c r="F168" s="4">
        <f t="shared" ref="F168:F173" si="114">SQRT(D168*4*1000/E168/3.14159)*1000</f>
        <v>3568.2497392916684</v>
      </c>
      <c r="G168">
        <v>3500</v>
      </c>
      <c r="H168" s="4">
        <v>6</v>
      </c>
      <c r="I168" s="4">
        <v>5</v>
      </c>
      <c r="J168" t="s">
        <v>100</v>
      </c>
      <c r="K168" s="5"/>
      <c r="L168" s="5">
        <f t="shared" ref="L168:L173" si="115">3.14159*G168*E168*(H168+I168)*7.85/2000000</f>
        <v>2373.6675943749997</v>
      </c>
      <c r="M168" s="5">
        <f>G168*G168*1.05*1.05*(K168+H168)*7.85*2/2000000</f>
        <v>636.1149375</v>
      </c>
      <c r="N168" s="5">
        <f t="shared" ref="N168:N173" si="116">(K168+L168)*0.2</f>
        <v>474.73351887499996</v>
      </c>
      <c r="O168" s="8">
        <f>(L168+M168+N168)*F2*2</f>
        <v>696903.21014999994</v>
      </c>
      <c r="P168" s="5">
        <f t="shared" ref="P168:P173" si="117">L168+M168+N168</f>
        <v>3484.5160507499995</v>
      </c>
      <c r="Q168">
        <f>D168*900</f>
        <v>45000</v>
      </c>
      <c r="R168" s="5">
        <f t="shared" ref="R168:R173" si="118">P168+Q168</f>
        <v>48484.516050749997</v>
      </c>
      <c r="S168" s="5">
        <f t="shared" ref="S168:S173" si="119">R168</f>
        <v>48484.516050749997</v>
      </c>
      <c r="T168" s="8" t="s">
        <v>76</v>
      </c>
      <c r="U168" s="20">
        <f>10000/60</f>
        <v>166.66666666666666</v>
      </c>
      <c r="V168" s="5">
        <f t="shared" si="109"/>
        <v>29.742942093677069</v>
      </c>
      <c r="W168" s="5">
        <f t="shared" si="110"/>
        <v>25.75814343641386</v>
      </c>
      <c r="X168" s="5" t="s">
        <v>88</v>
      </c>
      <c r="Y168" s="4">
        <f>D158*1000*0.8</f>
        <v>1040</v>
      </c>
      <c r="Z168" s="5"/>
      <c r="AB168" s="5"/>
      <c r="AD168" s="5"/>
    </row>
    <row r="169" spans="1:30" x14ac:dyDescent="0.25">
      <c r="A169" t="s">
        <v>64</v>
      </c>
      <c r="B169" t="s">
        <v>91</v>
      </c>
      <c r="D169">
        <v>50</v>
      </c>
      <c r="E169">
        <v>5000</v>
      </c>
      <c r="F169" s="4">
        <f t="shared" si="114"/>
        <v>3568.2497392916684</v>
      </c>
      <c r="G169">
        <v>3500</v>
      </c>
      <c r="H169" s="4">
        <v>6</v>
      </c>
      <c r="I169" s="4">
        <v>5</v>
      </c>
      <c r="J169" t="s">
        <v>100</v>
      </c>
      <c r="K169" s="5"/>
      <c r="L169" s="5">
        <f t="shared" si="115"/>
        <v>2373.6675943749997</v>
      </c>
      <c r="M169" s="5">
        <f t="shared" ref="M169:M173" si="120">G169*G169*1.05*1.05*(K169+H169)*7.85*2/2000000</f>
        <v>636.1149375</v>
      </c>
      <c r="N169" s="5">
        <f t="shared" si="116"/>
        <v>474.73351887499996</v>
      </c>
      <c r="O169" s="8">
        <f>(L169+M169+N169)*F2*2</f>
        <v>696903.21014999994</v>
      </c>
      <c r="P169" s="5">
        <f t="shared" si="117"/>
        <v>3484.5160507499995</v>
      </c>
      <c r="Q169">
        <f>D169*900</f>
        <v>45000</v>
      </c>
      <c r="R169" s="5">
        <f t="shared" si="118"/>
        <v>48484.516050749997</v>
      </c>
      <c r="S169" s="5">
        <f t="shared" si="119"/>
        <v>48484.516050749997</v>
      </c>
      <c r="T169" s="4"/>
      <c r="U169" s="4"/>
      <c r="W169" s="13"/>
      <c r="Y169" s="5"/>
      <c r="Z169" s="5"/>
      <c r="AB169" s="5"/>
      <c r="AD169" s="5"/>
    </row>
    <row r="170" spans="1:30" x14ac:dyDescent="0.25">
      <c r="A170" t="s">
        <v>15</v>
      </c>
      <c r="B170" t="s">
        <v>92</v>
      </c>
      <c r="D170">
        <v>25</v>
      </c>
      <c r="E170">
        <v>3000</v>
      </c>
      <c r="F170" s="4">
        <f t="shared" si="114"/>
        <v>3257.3514550366253</v>
      </c>
      <c r="G170">
        <v>3000</v>
      </c>
      <c r="H170" s="4">
        <v>6</v>
      </c>
      <c r="I170" s="4">
        <v>5</v>
      </c>
      <c r="J170" t="s">
        <v>100</v>
      </c>
      <c r="K170" s="5"/>
      <c r="L170" s="5">
        <f t="shared" si="115"/>
        <v>1220.7433342500001</v>
      </c>
      <c r="M170" s="5">
        <f t="shared" si="120"/>
        <v>467.34974999999997</v>
      </c>
      <c r="N170" s="5">
        <f t="shared" si="116"/>
        <v>244.14866685000004</v>
      </c>
      <c r="O170" s="8">
        <f>(L170+M170+N170)*F2*2</f>
        <v>386448.35022000008</v>
      </c>
      <c r="P170" s="5">
        <f t="shared" si="117"/>
        <v>1932.2417511000003</v>
      </c>
      <c r="Q170">
        <f>D170*1500</f>
        <v>37500</v>
      </c>
      <c r="R170" s="5">
        <f t="shared" si="118"/>
        <v>39432.241751100002</v>
      </c>
      <c r="S170" s="5">
        <f t="shared" si="119"/>
        <v>39432.241751100002</v>
      </c>
      <c r="T170" s="4"/>
      <c r="U170" s="4"/>
      <c r="W170" s="13"/>
      <c r="Y170" s="5"/>
      <c r="Z170" s="5"/>
      <c r="AB170" s="5"/>
      <c r="AD170" s="5"/>
    </row>
    <row r="171" spans="1:30" x14ac:dyDescent="0.25">
      <c r="A171" t="s">
        <v>62</v>
      </c>
      <c r="B171" t="s">
        <v>96</v>
      </c>
      <c r="D171">
        <v>20</v>
      </c>
      <c r="E171">
        <v>3600</v>
      </c>
      <c r="F171" s="4">
        <f t="shared" si="114"/>
        <v>2659.6163259173577</v>
      </c>
      <c r="G171" s="4">
        <v>2500</v>
      </c>
      <c r="H171" s="4">
        <v>6</v>
      </c>
      <c r="I171" s="4"/>
      <c r="J171" s="4"/>
      <c r="K171" s="5"/>
      <c r="L171" s="5">
        <f t="shared" si="115"/>
        <v>665.86000049999984</v>
      </c>
      <c r="M171" s="5">
        <f t="shared" ref="M171" si="121">G171*G171*1.05*1.05*(K171+H171)*7.85/1000000</f>
        <v>324.54843749999998</v>
      </c>
      <c r="N171" s="5">
        <f t="shared" si="116"/>
        <v>133.17200009999996</v>
      </c>
      <c r="O171" s="8">
        <f>(L171+M171+N171)*F2*2</f>
        <v>224716.08761999995</v>
      </c>
      <c r="P171" s="5">
        <f t="shared" si="117"/>
        <v>1123.5804380999998</v>
      </c>
      <c r="Q171">
        <f>D171*1500</f>
        <v>30000</v>
      </c>
      <c r="R171" s="28">
        <f t="shared" si="118"/>
        <v>31123.580438099998</v>
      </c>
      <c r="S171" s="28">
        <f t="shared" si="119"/>
        <v>31123.580438099998</v>
      </c>
      <c r="T171" s="4"/>
      <c r="U171" s="4"/>
      <c r="W171" s="13"/>
      <c r="Y171" s="5"/>
      <c r="Z171" s="5"/>
    </row>
    <row r="172" spans="1:30" x14ac:dyDescent="0.25">
      <c r="A172" t="s">
        <v>61</v>
      </c>
      <c r="B172" t="s">
        <v>93</v>
      </c>
      <c r="D172">
        <v>25</v>
      </c>
      <c r="E172">
        <v>3000</v>
      </c>
      <c r="F172" s="4">
        <f t="shared" si="114"/>
        <v>3257.3514550366253</v>
      </c>
      <c r="G172">
        <v>3000</v>
      </c>
      <c r="H172" s="4">
        <v>6</v>
      </c>
      <c r="I172" s="4">
        <v>5</v>
      </c>
      <c r="J172" t="s">
        <v>100</v>
      </c>
      <c r="K172" s="5"/>
      <c r="L172" s="5">
        <f t="shared" si="115"/>
        <v>1220.7433342500001</v>
      </c>
      <c r="M172" s="5">
        <f t="shared" si="120"/>
        <v>467.34974999999997</v>
      </c>
      <c r="N172" s="5">
        <f t="shared" si="116"/>
        <v>244.14866685000004</v>
      </c>
      <c r="O172" s="8">
        <f>(L172+M172+N172)*F2*2</f>
        <v>386448.35022000008</v>
      </c>
      <c r="P172" s="5">
        <f t="shared" si="117"/>
        <v>1932.2417511000003</v>
      </c>
      <c r="Q172">
        <f>D172*1000</f>
        <v>25000</v>
      </c>
      <c r="R172" s="5">
        <f t="shared" si="118"/>
        <v>26932.241751100002</v>
      </c>
      <c r="S172" s="5">
        <f t="shared" si="119"/>
        <v>26932.241751100002</v>
      </c>
    </row>
    <row r="173" spans="1:30" x14ac:dyDescent="0.25">
      <c r="A173" t="s">
        <v>60</v>
      </c>
      <c r="B173" t="s">
        <v>94</v>
      </c>
      <c r="D173">
        <v>20</v>
      </c>
      <c r="E173">
        <v>3000</v>
      </c>
      <c r="F173" s="4">
        <f t="shared" si="114"/>
        <v>2913.4637120278971</v>
      </c>
      <c r="G173">
        <v>3000</v>
      </c>
      <c r="H173" s="4">
        <v>6</v>
      </c>
      <c r="I173" s="4">
        <v>5</v>
      </c>
      <c r="J173" t="s">
        <v>100</v>
      </c>
      <c r="K173" s="5"/>
      <c r="L173" s="5">
        <f t="shared" si="115"/>
        <v>1220.7433342500001</v>
      </c>
      <c r="M173" s="5">
        <f t="shared" si="120"/>
        <v>467.34974999999997</v>
      </c>
      <c r="N173" s="5">
        <f t="shared" si="116"/>
        <v>244.14866685000004</v>
      </c>
      <c r="O173" s="8">
        <f>(L173+M173+N173)*F2*2</f>
        <v>386448.35022000008</v>
      </c>
      <c r="P173" s="5">
        <f t="shared" si="117"/>
        <v>1932.2417511000003</v>
      </c>
      <c r="Q173">
        <f t="shared" ref="Q173" si="122">D173*800</f>
        <v>16000</v>
      </c>
      <c r="R173" s="5">
        <f t="shared" si="118"/>
        <v>17932.241751100002</v>
      </c>
      <c r="S173" s="5">
        <f t="shared" si="119"/>
        <v>17932.241751100002</v>
      </c>
    </row>
    <row r="174" spans="1:30" x14ac:dyDescent="0.25">
      <c r="H174" s="4"/>
      <c r="I174" s="4"/>
      <c r="K174" s="5"/>
      <c r="L174" s="5"/>
      <c r="M174" s="5"/>
      <c r="N174" s="5"/>
      <c r="O174" s="8"/>
      <c r="P174" s="5"/>
      <c r="R174" s="5"/>
      <c r="S174" s="5"/>
    </row>
    <row r="175" spans="1:30" x14ac:dyDescent="0.25">
      <c r="N175" t="s">
        <v>13</v>
      </c>
      <c r="O175" s="8">
        <f>SUM(O155:O173)</f>
        <v>4762372.4128048001</v>
      </c>
      <c r="P175" s="8"/>
      <c r="Q175" s="20"/>
      <c r="R175" s="8"/>
      <c r="S175" s="8"/>
    </row>
    <row r="176" spans="1:30" x14ac:dyDescent="0.25">
      <c r="A176" t="s">
        <v>128</v>
      </c>
      <c r="E176" t="s">
        <v>125</v>
      </c>
      <c r="F176" s="13">
        <f>F178/2</f>
        <v>118.44444444444446</v>
      </c>
      <c r="G176">
        <v>150</v>
      </c>
      <c r="O176" s="8"/>
      <c r="P176" s="8"/>
      <c r="Q176" s="8"/>
      <c r="R176" s="8"/>
      <c r="S176" s="8"/>
    </row>
    <row r="177" spans="1:31" x14ac:dyDescent="0.25">
      <c r="A177" t="s">
        <v>126</v>
      </c>
      <c r="O177" s="8"/>
      <c r="P177" s="8"/>
      <c r="Q177" s="8"/>
      <c r="R177" s="8"/>
      <c r="S177" s="8"/>
    </row>
    <row r="178" spans="1:31" x14ac:dyDescent="0.25">
      <c r="A178" t="s">
        <v>16</v>
      </c>
      <c r="E178" t="s">
        <v>18</v>
      </c>
      <c r="F178" s="4">
        <f>(D155*2+D158+D160+D160+D161)*40000/450/2</f>
        <v>236.88888888888891</v>
      </c>
      <c r="G178">
        <v>300</v>
      </c>
    </row>
    <row r="179" spans="1:31" x14ac:dyDescent="0.25">
      <c r="A179" t="s">
        <v>17</v>
      </c>
      <c r="E179" t="s">
        <v>19</v>
      </c>
      <c r="G179">
        <f>G178*450/3/600</f>
        <v>75</v>
      </c>
    </row>
    <row r="180" spans="1:31" x14ac:dyDescent="0.25">
      <c r="E180" t="s">
        <v>102</v>
      </c>
      <c r="G180" s="4">
        <f>G178/100*7*18</f>
        <v>378</v>
      </c>
    </row>
    <row r="181" spans="1:31" x14ac:dyDescent="0.25">
      <c r="G181" s="4"/>
    </row>
    <row r="182" spans="1:31" ht="15.75" customHeight="1" x14ac:dyDescent="0.25">
      <c r="A182" s="6" t="s">
        <v>0</v>
      </c>
      <c r="B182" s="45"/>
      <c r="C182" s="45"/>
    </row>
    <row r="183" spans="1:31" x14ac:dyDescent="0.25">
      <c r="A183">
        <v>1</v>
      </c>
      <c r="B183" s="1" t="s">
        <v>157</v>
      </c>
      <c r="C183" t="s">
        <v>103</v>
      </c>
    </row>
    <row r="184" spans="1:31" ht="45" x14ac:dyDescent="0.25">
      <c r="A184" s="6" t="s">
        <v>3</v>
      </c>
      <c r="B184" s="6"/>
      <c r="C184" s="6"/>
      <c r="D184" s="6" t="s">
        <v>2</v>
      </c>
      <c r="E184" s="6" t="s">
        <v>4</v>
      </c>
      <c r="F184" s="6" t="s">
        <v>5</v>
      </c>
      <c r="G184" s="6" t="s">
        <v>6</v>
      </c>
      <c r="H184" s="45" t="s">
        <v>10</v>
      </c>
      <c r="I184" s="46"/>
      <c r="L184" s="9" t="s">
        <v>138</v>
      </c>
      <c r="M184" s="9" t="s">
        <v>12</v>
      </c>
      <c r="N184" s="9" t="s">
        <v>156</v>
      </c>
      <c r="O184" s="7" t="s">
        <v>11</v>
      </c>
      <c r="P184" s="27" t="s">
        <v>46</v>
      </c>
      <c r="Q184" s="27" t="s">
        <v>48</v>
      </c>
      <c r="R184" s="27" t="s">
        <v>47</v>
      </c>
      <c r="S184" s="27" t="s">
        <v>49</v>
      </c>
      <c r="T184" s="7" t="s">
        <v>42</v>
      </c>
      <c r="U184" s="36" t="s">
        <v>104</v>
      </c>
      <c r="V184" s="36" t="s">
        <v>43</v>
      </c>
      <c r="W184" s="36" t="s">
        <v>44</v>
      </c>
      <c r="X184" s="11"/>
      <c r="Y184" s="18"/>
      <c r="Z184" s="18"/>
      <c r="AB184" s="19"/>
      <c r="AC184" s="19"/>
      <c r="AD184" s="19"/>
      <c r="AE184" s="19"/>
    </row>
    <row r="185" spans="1:31" x14ac:dyDescent="0.25">
      <c r="A185" s="3" t="s">
        <v>53</v>
      </c>
      <c r="B185" t="s">
        <v>120</v>
      </c>
      <c r="D185" s="5">
        <f>A183*0.65</f>
        <v>0.65</v>
      </c>
      <c r="E185">
        <v>1200</v>
      </c>
      <c r="F185" s="4">
        <f>SQRT(D185*4*1000/E185/3.14159)*1000</f>
        <v>830.46493159308</v>
      </c>
      <c r="G185">
        <v>700</v>
      </c>
      <c r="H185" s="4">
        <v>6</v>
      </c>
      <c r="J185" t="s">
        <v>100</v>
      </c>
      <c r="L185" s="4">
        <f>3.14159*G185*E185*H185*7.85*1.5/1000000</f>
        <v>186.44080013999996</v>
      </c>
      <c r="M185" s="5">
        <f>G185*G185*1.22*1.22*H185*7.85*2/1000000</f>
        <v>68.7015672</v>
      </c>
      <c r="N185" s="5">
        <f t="shared" ref="N185:N194" si="123">(K185+L185)*0.2</f>
        <v>37.288160027999993</v>
      </c>
      <c r="O185" s="8">
        <f>(L185+M185+N185)*E2*1.4</f>
        <v>81880.547663039979</v>
      </c>
      <c r="P185" s="5">
        <f t="shared" ref="P185" si="124">L185+M185+N185</f>
        <v>292.43052736799996</v>
      </c>
      <c r="Q185">
        <f>D185*1500</f>
        <v>975</v>
      </c>
      <c r="R185" s="5">
        <f t="shared" ref="R185" si="125">P185+Q185</f>
        <v>1267.430527368</v>
      </c>
      <c r="S185" s="5">
        <f>R185</f>
        <v>1267.430527368</v>
      </c>
      <c r="T185" s="8" t="s">
        <v>50</v>
      </c>
      <c r="U185" s="20">
        <f>G209</f>
        <v>50</v>
      </c>
      <c r="V185" s="5">
        <f>SQRT(U185/1000/60/3.14)*1000</f>
        <v>16.290880311276865</v>
      </c>
      <c r="W185" s="5">
        <f>SQRT(U185*3/4/1000/60/3.14)*1000</f>
        <v>14.108316199577509</v>
      </c>
      <c r="X185" s="47" t="s">
        <v>79</v>
      </c>
      <c r="Y185" s="47"/>
      <c r="Z185" s="21"/>
      <c r="AB185" s="21"/>
      <c r="AC185" s="21"/>
      <c r="AD185" s="21"/>
      <c r="AE185" s="21"/>
    </row>
    <row r="186" spans="1:31" x14ac:dyDescent="0.25">
      <c r="A186" s="3" t="s">
        <v>118</v>
      </c>
      <c r="B186" t="s">
        <v>117</v>
      </c>
      <c r="C186" s="25"/>
      <c r="D186" s="23">
        <f>A183*0.2</f>
        <v>0.2</v>
      </c>
      <c r="E186" s="23">
        <v>1200</v>
      </c>
      <c r="F186" s="24">
        <f>SQRT(D186*4*1000/E186/3.14159)*1000</f>
        <v>460.65906051285299</v>
      </c>
      <c r="G186" s="23">
        <v>500</v>
      </c>
      <c r="H186" s="24">
        <v>5</v>
      </c>
      <c r="I186" s="26"/>
      <c r="J186" t="s">
        <v>100</v>
      </c>
      <c r="L186" s="5">
        <f>3.14159*G186*E186*H186*7.85/1000000</f>
        <v>73.984444499999981</v>
      </c>
      <c r="M186" s="5">
        <f>G186*G186*1.22*1.22*H186*7.85*2/1000000</f>
        <v>29.209849999999999</v>
      </c>
      <c r="N186" s="5">
        <f t="shared" si="123"/>
        <v>14.796888899999997</v>
      </c>
      <c r="O186" s="8">
        <f>(L186+M186+N186)*E2</f>
        <v>23598.236679999998</v>
      </c>
      <c r="P186" s="5">
        <f t="shared" ref="P186:P194" si="126">L186+M186+N186</f>
        <v>117.99118339999998</v>
      </c>
      <c r="Q186">
        <f>D186*1500</f>
        <v>300</v>
      </c>
      <c r="R186" s="5">
        <f t="shared" ref="R186:R194" si="127">P186+Q186</f>
        <v>417.99118339999995</v>
      </c>
      <c r="S186" s="5">
        <f t="shared" ref="S186:S194" si="128">R186</f>
        <v>417.99118339999995</v>
      </c>
      <c r="T186" s="8" t="s">
        <v>65</v>
      </c>
      <c r="U186" s="20">
        <f>D185*1000/15</f>
        <v>43.333333333333336</v>
      </c>
      <c r="V186" s="5">
        <f>SQRT(U186/1000/60/3.14)*1000</f>
        <v>15.165984212731964</v>
      </c>
      <c r="W186" s="5">
        <f>SQRT(U186*3/4/1000/60/3.14)*1000</f>
        <v>13.134127601619619</v>
      </c>
      <c r="X186" s="5" t="s">
        <v>80</v>
      </c>
      <c r="Y186" s="4">
        <f>D185*1000*0.8</f>
        <v>520</v>
      </c>
      <c r="Z186" s="21"/>
      <c r="AB186" s="21"/>
      <c r="AC186" s="21"/>
      <c r="AD186" s="21"/>
      <c r="AE186" s="21"/>
    </row>
    <row r="187" spans="1:31" x14ac:dyDescent="0.25">
      <c r="A187" s="3" t="s">
        <v>52</v>
      </c>
      <c r="B187" t="s">
        <v>95</v>
      </c>
      <c r="C187" s="25"/>
      <c r="D187" s="23">
        <f>A183*0.6</f>
        <v>0.6</v>
      </c>
      <c r="E187" s="23">
        <v>1200</v>
      </c>
      <c r="F187" s="24">
        <f>SQRT(D187*4*1000/E187/3.14159)*1000</f>
        <v>797.88489777520738</v>
      </c>
      <c r="G187" s="23">
        <v>800</v>
      </c>
      <c r="H187" s="24">
        <v>5</v>
      </c>
      <c r="I187" s="26"/>
      <c r="J187" t="s">
        <v>100</v>
      </c>
      <c r="L187" s="5">
        <f>3.14159*G187*E187*H187*7.85*1.5/1000000</f>
        <v>177.56266679999999</v>
      </c>
      <c r="M187" s="5">
        <f>G187*G187*1.22*1.22*H187*7.85*2/1000000</f>
        <v>74.777215999999996</v>
      </c>
      <c r="N187" s="5">
        <f t="shared" si="123"/>
        <v>35.512533359999999</v>
      </c>
      <c r="O187" s="8">
        <f>(L187+M187+N187)*E2</f>
        <v>57570.483232000006</v>
      </c>
      <c r="P187" s="5">
        <f t="shared" si="126"/>
        <v>287.85241616000002</v>
      </c>
      <c r="Q187">
        <f>D187*900</f>
        <v>540</v>
      </c>
      <c r="R187" s="5">
        <f t="shared" si="127"/>
        <v>827.85241616000008</v>
      </c>
      <c r="S187" s="5">
        <f t="shared" si="128"/>
        <v>827.85241616000008</v>
      </c>
      <c r="T187" s="8" t="s">
        <v>66</v>
      </c>
      <c r="U187" s="20">
        <f>D188*1000/15</f>
        <v>43.333333333333336</v>
      </c>
      <c r="V187" s="5">
        <f t="shared" ref="V187:V198" si="129">SQRT(U187/1000/60/3.14)*1000</f>
        <v>15.165984212731964</v>
      </c>
      <c r="W187" s="5">
        <f t="shared" ref="W187:W198" si="130">SQRT(U187*3/4/1000/60/3.14)*1000</f>
        <v>13.134127601619619</v>
      </c>
      <c r="X187" s="5" t="s">
        <v>81</v>
      </c>
      <c r="Y187" s="4">
        <f>D185*1000*0.1</f>
        <v>65</v>
      </c>
      <c r="Z187" s="5"/>
      <c r="AB187" s="5"/>
      <c r="AD187" s="5"/>
    </row>
    <row r="188" spans="1:31" x14ac:dyDescent="0.25">
      <c r="A188" t="s">
        <v>56</v>
      </c>
      <c r="B188" t="s">
        <v>89</v>
      </c>
      <c r="D188">
        <f>A183*0.65</f>
        <v>0.65</v>
      </c>
      <c r="E188">
        <v>1200</v>
      </c>
      <c r="F188" s="4">
        <f t="shared" ref="F188:F189" si="131">SQRT(D188*4*1000/E188/3.14159)*1000</f>
        <v>830.46493159308</v>
      </c>
      <c r="G188">
        <v>850</v>
      </c>
      <c r="H188" s="4">
        <v>6</v>
      </c>
      <c r="J188" t="s">
        <v>101</v>
      </c>
      <c r="L188" s="5">
        <f>3.14159*G188*E188*H188*8.15/1000000+3.14159*G188*E188*H188*7.85/2000000</f>
        <v>232.16035940999996</v>
      </c>
      <c r="M188" s="5">
        <f>G188*G188*1.22*1.22*H188*8.15*2/1000000</f>
        <v>105.1710882</v>
      </c>
      <c r="N188" s="5">
        <f t="shared" si="123"/>
        <v>46.432071881999995</v>
      </c>
      <c r="O188" s="8">
        <f>(L188+M188+N188)*D2*1.2</f>
        <v>230258.11169519994</v>
      </c>
      <c r="P188" s="5">
        <f t="shared" si="126"/>
        <v>383.76351949199994</v>
      </c>
      <c r="Q188">
        <f t="shared" ref="Q188:Q194" si="132">D188*800</f>
        <v>520</v>
      </c>
      <c r="R188" s="5">
        <f t="shared" si="127"/>
        <v>903.76351949199989</v>
      </c>
      <c r="S188" s="5">
        <f t="shared" si="128"/>
        <v>903.76351949199989</v>
      </c>
      <c r="T188" s="8" t="s">
        <v>67</v>
      </c>
      <c r="U188" s="20">
        <f>D189*1000*0.1/60</f>
        <v>1.0833333333333333</v>
      </c>
      <c r="V188" s="5">
        <f t="shared" si="129"/>
        <v>2.3979526535194302</v>
      </c>
      <c r="W188" s="5">
        <f t="shared" si="130"/>
        <v>2.0766879150201305</v>
      </c>
      <c r="X188" s="5" t="s">
        <v>82</v>
      </c>
      <c r="Y188" s="4">
        <f>D185*1000*0.00625</f>
        <v>4.0625</v>
      </c>
      <c r="Z188" s="5"/>
      <c r="AB188" s="5"/>
      <c r="AD188" s="5"/>
    </row>
    <row r="189" spans="1:31" x14ac:dyDescent="0.25">
      <c r="A189" t="s">
        <v>54</v>
      </c>
      <c r="B189" t="s">
        <v>141</v>
      </c>
      <c r="D189">
        <f>A183*0.65</f>
        <v>0.65</v>
      </c>
      <c r="E189">
        <v>1200</v>
      </c>
      <c r="F189" s="4">
        <f t="shared" si="131"/>
        <v>830.46493159308</v>
      </c>
      <c r="G189">
        <v>850</v>
      </c>
      <c r="H189" s="4">
        <v>6</v>
      </c>
      <c r="J189" t="s">
        <v>100</v>
      </c>
      <c r="L189" s="5">
        <f>3.14159*G189*E189*H189*7.85/1000000</f>
        <v>150.92826677999997</v>
      </c>
      <c r="M189" s="5">
        <f>G189*G189*1.22*1.22*H189*7.85*2/1000000</f>
        <v>101.2997598</v>
      </c>
      <c r="N189" s="5">
        <f t="shared" si="123"/>
        <v>30.185653355999996</v>
      </c>
      <c r="O189" s="8">
        <f>(L189+M189+N189)*E2*3*1.25</f>
        <v>211810.25995200002</v>
      </c>
      <c r="P189" s="5">
        <f t="shared" si="126"/>
        <v>282.41367993599999</v>
      </c>
      <c r="Q189">
        <f>D189*1200</f>
        <v>780</v>
      </c>
      <c r="R189" s="5">
        <f t="shared" si="127"/>
        <v>1062.4136799359999</v>
      </c>
      <c r="S189" s="5">
        <f t="shared" si="128"/>
        <v>1062.4136799359999</v>
      </c>
      <c r="T189" s="8" t="s">
        <v>51</v>
      </c>
      <c r="U189" s="20">
        <f>D189*1000*0.9/60</f>
        <v>9.75</v>
      </c>
      <c r="V189" s="5">
        <f t="shared" si="129"/>
        <v>7.1938579605582902</v>
      </c>
      <c r="W189" s="5">
        <f t="shared" si="130"/>
        <v>6.2300637450603924</v>
      </c>
      <c r="X189" s="44" t="s">
        <v>83</v>
      </c>
      <c r="Y189" s="44"/>
      <c r="Z189" s="5"/>
      <c r="AB189" s="5"/>
      <c r="AD189" s="5"/>
    </row>
    <row r="190" spans="1:31" x14ac:dyDescent="0.25">
      <c r="A190" t="s">
        <v>57</v>
      </c>
      <c r="B190" t="s">
        <v>151</v>
      </c>
      <c r="D190">
        <f>D188*0.15</f>
        <v>9.7500000000000003E-2</v>
      </c>
      <c r="E190" s="34">
        <v>1200</v>
      </c>
      <c r="F190" s="4">
        <f>SQRT(D190*4*1000/E190/3.14159)*1000</f>
        <v>321.63768496692808</v>
      </c>
      <c r="G190">
        <v>350</v>
      </c>
      <c r="H190" s="4">
        <v>5</v>
      </c>
      <c r="J190" t="s">
        <v>100</v>
      </c>
      <c r="L190" s="5">
        <f>3.14159*G190*E190*H190*7.85*2/1000000</f>
        <v>103.57822229999998</v>
      </c>
      <c r="M190" s="5">
        <f>G190*G190*1.22*1.22*H190*7.85*2/1000000</f>
        <v>14.3128265</v>
      </c>
      <c r="N190" s="5">
        <f t="shared" si="123"/>
        <v>20.715644459999996</v>
      </c>
      <c r="O190" s="8">
        <f>(L190+M190+N190)*E2*2</f>
        <v>55442.677303999997</v>
      </c>
      <c r="P190" s="5">
        <f t="shared" si="126"/>
        <v>138.60669325999999</v>
      </c>
      <c r="Q190">
        <f>D190*1000</f>
        <v>97.5</v>
      </c>
      <c r="R190" s="5">
        <f t="shared" si="127"/>
        <v>236.10669325999999</v>
      </c>
      <c r="S190" s="5">
        <f t="shared" si="128"/>
        <v>236.10669325999999</v>
      </c>
      <c r="T190" s="8" t="s">
        <v>68</v>
      </c>
      <c r="U190" s="20">
        <f>U189</f>
        <v>9.75</v>
      </c>
      <c r="V190" s="5">
        <f t="shared" si="129"/>
        <v>7.1938579605582902</v>
      </c>
      <c r="W190" s="5">
        <f t="shared" si="130"/>
        <v>6.2300637450603924</v>
      </c>
      <c r="X190" s="5" t="s">
        <v>84</v>
      </c>
      <c r="Y190" s="4">
        <f>D188*1000*0.8</f>
        <v>520</v>
      </c>
      <c r="Z190" s="5"/>
      <c r="AB190" s="5"/>
      <c r="AD190" s="5"/>
    </row>
    <row r="191" spans="1:31" x14ac:dyDescent="0.25">
      <c r="A191" t="s">
        <v>55</v>
      </c>
      <c r="B191" t="s">
        <v>97</v>
      </c>
      <c r="D191">
        <f>D188*0.8</f>
        <v>0.52</v>
      </c>
      <c r="E191" s="34">
        <v>1200</v>
      </c>
      <c r="F191" s="4">
        <f>SQRT(D191*4*1000/E191/3.14159)*1000</f>
        <v>742.79041598873584</v>
      </c>
      <c r="G191">
        <v>750</v>
      </c>
      <c r="H191" s="4">
        <v>5</v>
      </c>
      <c r="J191" t="s">
        <v>100</v>
      </c>
      <c r="L191" s="5">
        <f>3.14159*G191*E191*H191*7.85*2/1000000</f>
        <v>221.95333350000001</v>
      </c>
      <c r="M191" s="5">
        <f>G191*G191*1.22*1.22*H191*7.85*2/1000000</f>
        <v>65.722162499999996</v>
      </c>
      <c r="N191" s="5">
        <f t="shared" si="123"/>
        <v>44.390666700000004</v>
      </c>
      <c r="O191" s="8">
        <f>(L191+M191+N191)*E2*1.4</f>
        <v>92978.525555999993</v>
      </c>
      <c r="P191" s="5">
        <f t="shared" si="126"/>
        <v>332.06616270000001</v>
      </c>
      <c r="Q191">
        <f>D191*1200</f>
        <v>624</v>
      </c>
      <c r="R191" s="5">
        <f t="shared" si="127"/>
        <v>956.06616269999995</v>
      </c>
      <c r="S191" s="5">
        <f t="shared" si="128"/>
        <v>956.06616269999995</v>
      </c>
      <c r="T191" s="8" t="s">
        <v>69</v>
      </c>
      <c r="U191" s="20">
        <f>D190*1000/60</f>
        <v>1.625</v>
      </c>
      <c r="V191" s="5">
        <f t="shared" si="129"/>
        <v>2.9368802142377746</v>
      </c>
      <c r="W191" s="5">
        <f t="shared" si="130"/>
        <v>2.5434128734017971</v>
      </c>
      <c r="X191" s="5" t="s">
        <v>81</v>
      </c>
      <c r="Y191" s="4"/>
      <c r="Z191" s="5"/>
      <c r="AB191" s="5"/>
      <c r="AD191" s="5"/>
    </row>
    <row r="192" spans="1:31" x14ac:dyDescent="0.25">
      <c r="A192" t="s">
        <v>110</v>
      </c>
      <c r="B192" t="s">
        <v>132</v>
      </c>
      <c r="E192" s="34">
        <v>3000</v>
      </c>
      <c r="F192" s="4">
        <v>200</v>
      </c>
      <c r="G192">
        <v>200</v>
      </c>
      <c r="H192" s="4">
        <v>3</v>
      </c>
      <c r="J192" t="s">
        <v>100</v>
      </c>
      <c r="L192" s="5">
        <f>3.14159*G192*E192*H192*7.85/1000000</f>
        <v>44.390666699999997</v>
      </c>
      <c r="M192" s="5">
        <f>G192*G192*1.22*1.22*H192*7.85*2/1000000</f>
        <v>2.8041456</v>
      </c>
      <c r="N192" s="5">
        <f t="shared" si="123"/>
        <v>8.8781333399999998</v>
      </c>
      <c r="O192" s="8">
        <f>(L192+M192+N192)*E2*3*5</f>
        <v>168218.83691999997</v>
      </c>
      <c r="P192" s="5">
        <f t="shared" si="126"/>
        <v>56.072945639999993</v>
      </c>
      <c r="Q192">
        <v>50</v>
      </c>
      <c r="R192" s="5">
        <f t="shared" si="127"/>
        <v>106.07294564</v>
      </c>
      <c r="S192" s="5">
        <f t="shared" si="128"/>
        <v>106.07294564</v>
      </c>
      <c r="T192" s="8" t="s">
        <v>70</v>
      </c>
      <c r="U192" s="20">
        <f>D191*1000/60</f>
        <v>8.6666666666666661</v>
      </c>
      <c r="V192" s="5">
        <f t="shared" si="129"/>
        <v>6.7824343290714593</v>
      </c>
      <c r="W192" s="5">
        <f t="shared" si="130"/>
        <v>5.8737604284755491</v>
      </c>
      <c r="X192" s="5" t="s">
        <v>85</v>
      </c>
      <c r="Y192" s="4">
        <f>Y188*L190/2/L186</f>
        <v>2.84375</v>
      </c>
      <c r="Z192" s="5"/>
      <c r="AB192" s="5"/>
      <c r="AD192" s="5"/>
    </row>
    <row r="193" spans="1:30" x14ac:dyDescent="0.25">
      <c r="A193" t="s">
        <v>58</v>
      </c>
      <c r="B193" t="s">
        <v>137</v>
      </c>
      <c r="D193">
        <f>D185*0.01</f>
        <v>6.5000000000000006E-3</v>
      </c>
      <c r="E193">
        <v>2400</v>
      </c>
      <c r="F193" s="4">
        <f>SQRT(D193*4*1000/E193/3.14159)*1000</f>
        <v>58.722738466708925</v>
      </c>
      <c r="G193">
        <v>300</v>
      </c>
      <c r="H193" s="4">
        <f t="shared" ref="H193:H194" si="133">3 + 4.9*G193*(1.5-0.3)*0.9/160000</f>
        <v>3.0099225000000001</v>
      </c>
      <c r="J193" t="s">
        <v>106</v>
      </c>
      <c r="L193" s="5">
        <f>3.14159*G193*E193*(H193+I193)*8.15/1000000</f>
        <v>55.487470160315695</v>
      </c>
      <c r="M193" s="5">
        <f>G193*G193*1.05*1.05*H193*8.15*2/1000000</f>
        <v>4.8681508290187505</v>
      </c>
      <c r="N193" s="5">
        <f t="shared" si="123"/>
        <v>11.097494032063139</v>
      </c>
      <c r="O193" s="8">
        <f>(L193+M193+N193)*D2*2</f>
        <v>71453.115021397592</v>
      </c>
      <c r="P193" s="5">
        <f t="shared" si="126"/>
        <v>71.453115021397593</v>
      </c>
      <c r="Q193">
        <f t="shared" si="132"/>
        <v>5.2</v>
      </c>
      <c r="R193" s="5">
        <f t="shared" si="127"/>
        <v>76.653115021397596</v>
      </c>
      <c r="S193" s="5">
        <f t="shared" si="128"/>
        <v>76.653115021397596</v>
      </c>
      <c r="T193" s="8" t="s">
        <v>71</v>
      </c>
      <c r="U193" s="20">
        <f>10000/60</f>
        <v>166.66666666666666</v>
      </c>
      <c r="V193" s="5">
        <f t="shared" si="129"/>
        <v>29.742942093677069</v>
      </c>
      <c r="W193" s="5">
        <f t="shared" si="130"/>
        <v>25.75814343641386</v>
      </c>
      <c r="X193" s="44" t="s">
        <v>86</v>
      </c>
      <c r="Y193" s="44"/>
      <c r="Z193" s="5"/>
      <c r="AB193" s="5"/>
      <c r="AD193" s="5"/>
    </row>
    <row r="194" spans="1:30" x14ac:dyDescent="0.25">
      <c r="A194" t="s">
        <v>59</v>
      </c>
      <c r="B194" t="s">
        <v>134</v>
      </c>
      <c r="D194">
        <f>D188*0.02</f>
        <v>1.3000000000000001E-2</v>
      </c>
      <c r="E194">
        <v>2400</v>
      </c>
      <c r="F194" s="4">
        <f>SQRT(D194*4*1000/E194/3.14159)*1000</f>
        <v>83.046493159308014</v>
      </c>
      <c r="G194">
        <v>300</v>
      </c>
      <c r="H194" s="4">
        <f t="shared" si="133"/>
        <v>3.0099225000000001</v>
      </c>
      <c r="J194" t="s">
        <v>100</v>
      </c>
      <c r="L194" s="5">
        <f>3.14159*G194*E194*H194*7.85/1000000</f>
        <v>53.444986596132296</v>
      </c>
      <c r="M194" s="5">
        <f>G194*G194*1.05*1.05*H194*7.85*2/1000000</f>
        <v>4.6889550929812502</v>
      </c>
      <c r="N194" s="5">
        <f t="shared" si="123"/>
        <v>10.688997319226459</v>
      </c>
      <c r="O194" s="8">
        <f>(L194+M194+N194)*E2*2</f>
        <v>27529.175603336</v>
      </c>
      <c r="P194" s="5">
        <f t="shared" si="126"/>
        <v>68.822939008340001</v>
      </c>
      <c r="Q194">
        <f t="shared" si="132"/>
        <v>10.4</v>
      </c>
      <c r="R194" s="5">
        <f t="shared" si="127"/>
        <v>79.222939008340006</v>
      </c>
      <c r="S194" s="5">
        <f t="shared" si="128"/>
        <v>79.222939008340006</v>
      </c>
      <c r="T194" s="8" t="s">
        <v>72</v>
      </c>
      <c r="U194" s="20">
        <f>G208*1.2/60</f>
        <v>4</v>
      </c>
      <c r="V194" s="5">
        <f t="shared" si="129"/>
        <v>4.6077567758409144</v>
      </c>
      <c r="W194" s="5">
        <f t="shared" si="130"/>
        <v>3.9904344223381107</v>
      </c>
      <c r="X194" s="5" t="s">
        <v>84</v>
      </c>
      <c r="Y194" s="4">
        <f>D188*1000*0.8</f>
        <v>520</v>
      </c>
      <c r="Z194" s="5"/>
      <c r="AB194" s="5"/>
      <c r="AD194" s="5"/>
    </row>
    <row r="195" spans="1:30" x14ac:dyDescent="0.25">
      <c r="A195" t="s">
        <v>116</v>
      </c>
      <c r="B195" t="s">
        <v>135</v>
      </c>
      <c r="D195" s="38">
        <f t="shared" ref="D195:D196" si="134">3.14159*0.019*E195*14/1000</f>
        <v>1.0027955279999998</v>
      </c>
      <c r="E195">
        <v>1200</v>
      </c>
      <c r="J195" t="s">
        <v>100</v>
      </c>
      <c r="O195" s="8">
        <v>200000</v>
      </c>
      <c r="T195" s="8" t="s">
        <v>73</v>
      </c>
      <c r="U195" s="20">
        <f>D186*1000/60</f>
        <v>3.3333333333333335</v>
      </c>
      <c r="V195" s="5">
        <f t="shared" si="129"/>
        <v>4.2062872093755725</v>
      </c>
      <c r="W195" s="5">
        <f t="shared" si="130"/>
        <v>3.6427515789328</v>
      </c>
      <c r="X195" s="5" t="s">
        <v>81</v>
      </c>
      <c r="Y195" s="4">
        <f>Y194*0.2</f>
        <v>104</v>
      </c>
      <c r="Z195" s="5"/>
      <c r="AB195" s="5"/>
      <c r="AD195" s="5"/>
    </row>
    <row r="196" spans="1:30" x14ac:dyDescent="0.25">
      <c r="A196" t="s">
        <v>107</v>
      </c>
      <c r="B196" t="s">
        <v>109</v>
      </c>
      <c r="D196" s="38">
        <f t="shared" si="134"/>
        <v>1.5041932919999998</v>
      </c>
      <c r="E196">
        <v>1800</v>
      </c>
      <c r="J196" t="s">
        <v>100</v>
      </c>
      <c r="O196" s="8">
        <v>100000</v>
      </c>
      <c r="T196" s="8" t="s">
        <v>74</v>
      </c>
      <c r="U196" s="20">
        <f>10000/60</f>
        <v>166.66666666666666</v>
      </c>
      <c r="V196" s="5">
        <f t="shared" si="129"/>
        <v>29.742942093677069</v>
      </c>
      <c r="W196" s="5">
        <f t="shared" si="130"/>
        <v>25.75814343641386</v>
      </c>
      <c r="X196" s="5" t="s">
        <v>85</v>
      </c>
      <c r="Z196" s="5"/>
      <c r="AB196" s="5"/>
      <c r="AD196" s="5"/>
    </row>
    <row r="197" spans="1:30" x14ac:dyDescent="0.25">
      <c r="A197" t="s">
        <v>108</v>
      </c>
      <c r="B197" t="s">
        <v>155</v>
      </c>
      <c r="D197" s="38">
        <f>3.14159*0.019*E197*10/1000</f>
        <v>0.71628251999999981</v>
      </c>
      <c r="E197">
        <v>1200</v>
      </c>
      <c r="J197" t="s">
        <v>100</v>
      </c>
      <c r="O197" s="8">
        <v>100000</v>
      </c>
      <c r="T197" s="8" t="s">
        <v>75</v>
      </c>
      <c r="U197" s="20">
        <f>D187*1000/60</f>
        <v>10</v>
      </c>
      <c r="V197" s="5">
        <f t="shared" si="129"/>
        <v>7.2855031578656</v>
      </c>
      <c r="W197" s="5">
        <f t="shared" si="130"/>
        <v>6.3094308140633597</v>
      </c>
      <c r="X197" s="44" t="s">
        <v>87</v>
      </c>
      <c r="Y197" s="44"/>
      <c r="Z197" s="5"/>
      <c r="AB197" s="5"/>
      <c r="AD197" s="5"/>
    </row>
    <row r="198" spans="1:30" x14ac:dyDescent="0.25">
      <c r="A198" t="s">
        <v>63</v>
      </c>
      <c r="B198" t="s">
        <v>90</v>
      </c>
      <c r="D198">
        <v>15</v>
      </c>
      <c r="E198">
        <v>3000</v>
      </c>
      <c r="F198" s="4">
        <f t="shared" ref="F198:F203" si="135">SQRT(D198*4*1000/E198/3.14159)*1000</f>
        <v>2523.1335876202693</v>
      </c>
      <c r="G198">
        <v>2500</v>
      </c>
      <c r="H198" s="4">
        <v>6</v>
      </c>
      <c r="I198" s="4">
        <v>5</v>
      </c>
      <c r="J198" t="s">
        <v>100</v>
      </c>
      <c r="K198" s="5"/>
      <c r="L198" s="5">
        <f t="shared" ref="L198:L203" si="136">3.14159*G198*E198*(H198+I198)*7.85/2000000</f>
        <v>1017.286111875</v>
      </c>
      <c r="M198" s="5">
        <f>G198*G198*1.05*1.05*(K198+H198)*7.85*2/2000000</f>
        <v>324.54843749999998</v>
      </c>
      <c r="N198" s="5">
        <f t="shared" ref="N198:N203" si="137">(K198+L198)*0.2</f>
        <v>203.45722237500001</v>
      </c>
      <c r="O198" s="8">
        <f>(L198+M198+N198)*F2*2</f>
        <v>309058.35434999998</v>
      </c>
      <c r="P198" s="5">
        <f t="shared" ref="P198:P203" si="138">L198+M198+N198</f>
        <v>1545.29177175</v>
      </c>
      <c r="Q198">
        <f>D198*900</f>
        <v>13500</v>
      </c>
      <c r="R198" s="5">
        <f t="shared" ref="R198:R203" si="139">P198+Q198</f>
        <v>15045.29177175</v>
      </c>
      <c r="S198" s="5">
        <f>R198</f>
        <v>15045.29177175</v>
      </c>
      <c r="T198" s="8" t="s">
        <v>76</v>
      </c>
      <c r="U198" s="20">
        <f>10000/60</f>
        <v>166.66666666666666</v>
      </c>
      <c r="V198" s="5">
        <f t="shared" si="129"/>
        <v>29.742942093677069</v>
      </c>
      <c r="W198" s="5">
        <f t="shared" si="130"/>
        <v>25.75814343641386</v>
      </c>
      <c r="X198" s="5" t="s">
        <v>88</v>
      </c>
      <c r="Y198" s="4">
        <f>D188*1000*0.8</f>
        <v>520</v>
      </c>
      <c r="Z198" s="5"/>
      <c r="AB198" s="5"/>
      <c r="AD198" s="5"/>
    </row>
    <row r="199" spans="1:30" x14ac:dyDescent="0.25">
      <c r="A199" t="s">
        <v>64</v>
      </c>
      <c r="B199" t="s">
        <v>91</v>
      </c>
      <c r="D199">
        <v>15</v>
      </c>
      <c r="E199">
        <v>3000</v>
      </c>
      <c r="F199" s="4">
        <f t="shared" si="135"/>
        <v>2523.1335876202693</v>
      </c>
      <c r="G199">
        <v>2500</v>
      </c>
      <c r="H199" s="4">
        <v>6</v>
      </c>
      <c r="I199" s="4">
        <v>5</v>
      </c>
      <c r="J199" t="s">
        <v>100</v>
      </c>
      <c r="K199" s="5"/>
      <c r="L199" s="5">
        <f t="shared" si="136"/>
        <v>1017.286111875</v>
      </c>
      <c r="M199" s="5">
        <f t="shared" ref="M199:M203" si="140">G199*G199*1.05*1.05*(K199+H199)*7.85*2/2000000</f>
        <v>324.54843749999998</v>
      </c>
      <c r="N199" s="5">
        <f t="shared" si="137"/>
        <v>203.45722237500001</v>
      </c>
      <c r="O199" s="8">
        <f>(L199+M199+N199)*F2*2</f>
        <v>309058.35434999998</v>
      </c>
      <c r="P199" s="5">
        <f t="shared" si="138"/>
        <v>1545.29177175</v>
      </c>
      <c r="Q199">
        <f>D199*900</f>
        <v>13500</v>
      </c>
      <c r="R199" s="5">
        <f t="shared" si="139"/>
        <v>15045.29177175</v>
      </c>
      <c r="S199" s="5">
        <f t="shared" ref="S199:S203" si="141">R199</f>
        <v>15045.29177175</v>
      </c>
      <c r="T199" s="4"/>
      <c r="U199" s="4"/>
      <c r="W199" s="13"/>
      <c r="Y199" s="5"/>
      <c r="Z199" s="5"/>
      <c r="AB199" s="5"/>
      <c r="AD199" s="5"/>
    </row>
    <row r="200" spans="1:30" x14ac:dyDescent="0.25">
      <c r="A200" t="s">
        <v>15</v>
      </c>
      <c r="B200" t="s">
        <v>92</v>
      </c>
      <c r="D200">
        <v>10</v>
      </c>
      <c r="E200">
        <v>3000</v>
      </c>
      <c r="F200" s="4">
        <f t="shared" si="135"/>
        <v>2060.1299475158567</v>
      </c>
      <c r="G200">
        <v>2000</v>
      </c>
      <c r="H200" s="4">
        <v>6</v>
      </c>
      <c r="I200" s="4">
        <v>5</v>
      </c>
      <c r="J200" t="s">
        <v>100</v>
      </c>
      <c r="K200" s="5"/>
      <c r="L200" s="5">
        <f t="shared" si="136"/>
        <v>813.82888949999995</v>
      </c>
      <c r="M200" s="5">
        <f t="shared" si="140"/>
        <v>207.71100000000001</v>
      </c>
      <c r="N200" s="5">
        <f t="shared" si="137"/>
        <v>162.76577789999999</v>
      </c>
      <c r="O200" s="8">
        <f>(L200+M200+N200)*F2*2</f>
        <v>236861.13347999999</v>
      </c>
      <c r="P200" s="5">
        <f t="shared" si="138"/>
        <v>1184.3056673999999</v>
      </c>
      <c r="Q200">
        <f>D200*1500</f>
        <v>15000</v>
      </c>
      <c r="R200" s="5">
        <f t="shared" si="139"/>
        <v>16184.3056674</v>
      </c>
      <c r="S200" s="5">
        <f t="shared" si="141"/>
        <v>16184.3056674</v>
      </c>
      <c r="T200" s="4"/>
      <c r="U200" s="4"/>
      <c r="W200" s="13"/>
      <c r="Y200" s="5"/>
      <c r="Z200" s="5"/>
      <c r="AB200" s="5"/>
      <c r="AD200" s="5"/>
    </row>
    <row r="201" spans="1:30" x14ac:dyDescent="0.25">
      <c r="A201" t="s">
        <v>62</v>
      </c>
      <c r="B201" t="s">
        <v>96</v>
      </c>
      <c r="D201">
        <v>10</v>
      </c>
      <c r="E201">
        <v>3000</v>
      </c>
      <c r="F201" s="4">
        <f t="shared" si="135"/>
        <v>2060.1299475158567</v>
      </c>
      <c r="G201">
        <v>2000</v>
      </c>
      <c r="H201" s="4">
        <v>6</v>
      </c>
      <c r="I201" s="4">
        <v>5</v>
      </c>
      <c r="J201" t="s">
        <v>100</v>
      </c>
      <c r="K201" s="5"/>
      <c r="L201" s="5">
        <f t="shared" si="136"/>
        <v>813.82888949999995</v>
      </c>
      <c r="M201" s="5">
        <f t="shared" si="140"/>
        <v>207.71100000000001</v>
      </c>
      <c r="N201" s="5">
        <f t="shared" si="137"/>
        <v>162.76577789999999</v>
      </c>
      <c r="O201" s="8">
        <f>(L201+M201+N201)*F2*2</f>
        <v>236861.13347999999</v>
      </c>
      <c r="P201" s="5">
        <f t="shared" si="138"/>
        <v>1184.3056673999999</v>
      </c>
      <c r="Q201">
        <f t="shared" ref="Q201:Q203" si="142">D201*800</f>
        <v>8000</v>
      </c>
      <c r="R201" s="5">
        <f t="shared" si="139"/>
        <v>9184.3056673999999</v>
      </c>
      <c r="S201" s="5">
        <f t="shared" si="141"/>
        <v>9184.3056673999999</v>
      </c>
      <c r="T201" s="4"/>
      <c r="U201" s="4"/>
      <c r="W201" s="13"/>
      <c r="Y201" s="5"/>
      <c r="Z201" s="5"/>
    </row>
    <row r="202" spans="1:30" x14ac:dyDescent="0.25">
      <c r="A202" t="s">
        <v>61</v>
      </c>
      <c r="B202" t="s">
        <v>93</v>
      </c>
      <c r="D202">
        <v>10</v>
      </c>
      <c r="E202">
        <v>3000</v>
      </c>
      <c r="F202" s="4">
        <f t="shared" si="135"/>
        <v>2060.1299475158567</v>
      </c>
      <c r="G202">
        <v>2000</v>
      </c>
      <c r="H202" s="4">
        <v>6</v>
      </c>
      <c r="I202" s="4">
        <v>5</v>
      </c>
      <c r="J202" t="s">
        <v>100</v>
      </c>
      <c r="K202" s="5"/>
      <c r="L202" s="5">
        <f t="shared" si="136"/>
        <v>813.82888949999995</v>
      </c>
      <c r="M202" s="5">
        <f t="shared" si="140"/>
        <v>207.71100000000001</v>
      </c>
      <c r="N202" s="5">
        <f t="shared" si="137"/>
        <v>162.76577789999999</v>
      </c>
      <c r="O202" s="8">
        <f>(L202+M202+N202)*F2*2</f>
        <v>236861.13347999999</v>
      </c>
      <c r="P202" s="5">
        <f t="shared" si="138"/>
        <v>1184.3056673999999</v>
      </c>
      <c r="Q202">
        <f>D202*1000</f>
        <v>10000</v>
      </c>
      <c r="R202" s="5">
        <f t="shared" si="139"/>
        <v>11184.3056674</v>
      </c>
      <c r="S202" s="5">
        <f t="shared" si="141"/>
        <v>11184.3056674</v>
      </c>
    </row>
    <row r="203" spans="1:30" x14ac:dyDescent="0.25">
      <c r="A203" t="s">
        <v>60</v>
      </c>
      <c r="B203" t="s">
        <v>94</v>
      </c>
      <c r="D203">
        <v>10</v>
      </c>
      <c r="E203">
        <v>3000</v>
      </c>
      <c r="F203" s="4">
        <f t="shared" si="135"/>
        <v>2060.1299475158567</v>
      </c>
      <c r="G203">
        <v>2000</v>
      </c>
      <c r="H203" s="4">
        <v>6</v>
      </c>
      <c r="I203" s="4">
        <v>5</v>
      </c>
      <c r="J203" t="s">
        <v>100</v>
      </c>
      <c r="K203" s="5"/>
      <c r="L203" s="5">
        <f t="shared" si="136"/>
        <v>813.82888949999995</v>
      </c>
      <c r="M203" s="5">
        <f t="shared" si="140"/>
        <v>207.71100000000001</v>
      </c>
      <c r="N203" s="5">
        <f t="shared" si="137"/>
        <v>162.76577789999999</v>
      </c>
      <c r="O203" s="8">
        <f>(L203+M203+N203)*F2*2</f>
        <v>236861.13347999999</v>
      </c>
      <c r="P203" s="5">
        <f t="shared" si="138"/>
        <v>1184.3056673999999</v>
      </c>
      <c r="Q203">
        <f t="shared" si="142"/>
        <v>8000</v>
      </c>
      <c r="R203" s="5">
        <f t="shared" si="139"/>
        <v>9184.3056673999999</v>
      </c>
      <c r="S203" s="5">
        <f t="shared" si="141"/>
        <v>9184.3056673999999</v>
      </c>
    </row>
    <row r="204" spans="1:30" x14ac:dyDescent="0.25">
      <c r="H204" s="4"/>
      <c r="I204" s="4"/>
      <c r="K204" s="5"/>
      <c r="L204" s="5"/>
      <c r="M204" s="5"/>
      <c r="N204" s="5"/>
      <c r="O204" s="8"/>
      <c r="P204" s="5"/>
      <c r="R204" s="5"/>
      <c r="S204" s="5"/>
    </row>
    <row r="205" spans="1:30" x14ac:dyDescent="0.25">
      <c r="N205" t="s">
        <v>13</v>
      </c>
      <c r="O205" s="8">
        <f>SUM(O185:O203)</f>
        <v>2986301.2122469726</v>
      </c>
      <c r="P205" s="8"/>
      <c r="Q205" s="20"/>
      <c r="R205" s="8"/>
      <c r="S205" s="8"/>
    </row>
    <row r="206" spans="1:30" x14ac:dyDescent="0.25">
      <c r="A206" t="s">
        <v>128</v>
      </c>
      <c r="E206" t="s">
        <v>125</v>
      </c>
      <c r="F206" s="13">
        <f>F208/2</f>
        <v>59.222222222222229</v>
      </c>
      <c r="G206">
        <v>75</v>
      </c>
      <c r="O206" s="8"/>
      <c r="P206" s="8"/>
      <c r="Q206" s="8"/>
      <c r="R206" s="8"/>
      <c r="S206" s="8"/>
    </row>
    <row r="207" spans="1:30" x14ac:dyDescent="0.25">
      <c r="A207" t="s">
        <v>126</v>
      </c>
      <c r="O207" s="8"/>
      <c r="P207" s="8"/>
      <c r="Q207" s="8"/>
      <c r="R207" s="8"/>
      <c r="S207" s="8"/>
    </row>
    <row r="208" spans="1:30" x14ac:dyDescent="0.25">
      <c r="A208" t="s">
        <v>16</v>
      </c>
      <c r="E208" t="s">
        <v>18</v>
      </c>
      <c r="F208" s="4">
        <f>(D185*2+D188+D190+D190+D191)*40000/450/2</f>
        <v>118.44444444444446</v>
      </c>
      <c r="G208">
        <v>200</v>
      </c>
    </row>
    <row r="209" spans="1:7" x14ac:dyDescent="0.25">
      <c r="A209" t="s">
        <v>17</v>
      </c>
      <c r="E209" t="s">
        <v>19</v>
      </c>
      <c r="G209">
        <f>G208*450/3/600</f>
        <v>50</v>
      </c>
    </row>
    <row r="210" spans="1:7" x14ac:dyDescent="0.25">
      <c r="E210" t="s">
        <v>102</v>
      </c>
      <c r="G210" s="4">
        <f>G208/100*7*18</f>
        <v>252</v>
      </c>
    </row>
    <row r="211" spans="1:7" ht="15.75" customHeight="1" x14ac:dyDescent="0.25"/>
  </sheetData>
  <mergeCells count="39">
    <mergeCell ref="T1:AA2"/>
    <mergeCell ref="X33:Y33"/>
    <mergeCell ref="X37:Y37"/>
    <mergeCell ref="X41:Y41"/>
    <mergeCell ref="X45:Y45"/>
    <mergeCell ref="H184:I184"/>
    <mergeCell ref="H123:I123"/>
    <mergeCell ref="H4:I4"/>
    <mergeCell ref="H94:I94"/>
    <mergeCell ref="H32:I32"/>
    <mergeCell ref="X155:Y155"/>
    <mergeCell ref="B121:C121"/>
    <mergeCell ref="B152:C152"/>
    <mergeCell ref="H154:I154"/>
    <mergeCell ref="B182:C182"/>
    <mergeCell ref="X95:Y95"/>
    <mergeCell ref="X99:Y99"/>
    <mergeCell ref="X103:Y103"/>
    <mergeCell ref="X107:Y107"/>
    <mergeCell ref="X5:Y5"/>
    <mergeCell ref="X9:Y9"/>
    <mergeCell ref="X13:Y13"/>
    <mergeCell ref="X17:Y17"/>
    <mergeCell ref="X193:Y193"/>
    <mergeCell ref="X197:Y197"/>
    <mergeCell ref="H63:I63"/>
    <mergeCell ref="X64:Y64"/>
    <mergeCell ref="X68:Y68"/>
    <mergeCell ref="X72:Y72"/>
    <mergeCell ref="X76:Y76"/>
    <mergeCell ref="X159:Y159"/>
    <mergeCell ref="X163:Y163"/>
    <mergeCell ref="X167:Y167"/>
    <mergeCell ref="X185:Y185"/>
    <mergeCell ref="X189:Y189"/>
    <mergeCell ref="X124:Y124"/>
    <mergeCell ref="X128:Y128"/>
    <mergeCell ref="X132:Y132"/>
    <mergeCell ref="X136:Y136"/>
  </mergeCell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2"/>
  <sheetViews>
    <sheetView zoomScale="90" zoomScaleNormal="90" workbookViewId="0">
      <selection sqref="A1:D1"/>
    </sheetView>
  </sheetViews>
  <sheetFormatPr defaultRowHeight="15" x14ac:dyDescent="0.25"/>
  <cols>
    <col min="3" max="3" width="12" customWidth="1"/>
    <col min="6" max="6" width="10" customWidth="1"/>
    <col min="10" max="10" width="15.140625" customWidth="1"/>
    <col min="15" max="15" width="13.140625" customWidth="1"/>
    <col min="16" max="16" width="12.140625" customWidth="1"/>
    <col min="17" max="17" width="11.42578125" customWidth="1"/>
  </cols>
  <sheetData>
    <row r="1" spans="1:16" ht="19.5" customHeight="1" x14ac:dyDescent="0.25">
      <c r="A1" s="45" t="s">
        <v>20</v>
      </c>
      <c r="B1" s="45"/>
      <c r="C1" s="45"/>
      <c r="D1" s="45"/>
      <c r="E1">
        <v>200</v>
      </c>
    </row>
    <row r="2" spans="1:16" ht="19.5" customHeight="1" x14ac:dyDescent="0.25">
      <c r="A2" s="16"/>
      <c r="B2" s="16"/>
      <c r="C2" s="16"/>
      <c r="D2" s="16"/>
    </row>
    <row r="3" spans="1:16" ht="19.5" customHeight="1" x14ac:dyDescent="0.25">
      <c r="A3" t="s">
        <v>35</v>
      </c>
      <c r="B3">
        <v>100000</v>
      </c>
      <c r="C3" t="s">
        <v>36</v>
      </c>
    </row>
    <row r="4" spans="1:16" ht="58.5" customHeight="1" x14ac:dyDescent="0.25">
      <c r="A4" s="16" t="s">
        <v>3</v>
      </c>
      <c r="B4" s="16" t="s">
        <v>34</v>
      </c>
      <c r="C4" s="16" t="s">
        <v>4</v>
      </c>
      <c r="D4" s="16" t="s">
        <v>5</v>
      </c>
      <c r="E4" s="16" t="s">
        <v>6</v>
      </c>
      <c r="F4" s="16" t="s">
        <v>10</v>
      </c>
      <c r="G4" s="16" t="s">
        <v>131</v>
      </c>
      <c r="H4" s="16" t="s">
        <v>12</v>
      </c>
      <c r="I4" s="16" t="s">
        <v>156</v>
      </c>
      <c r="J4" s="15" t="s">
        <v>11</v>
      </c>
      <c r="K4" s="19" t="s">
        <v>46</v>
      </c>
      <c r="L4" s="19" t="s">
        <v>48</v>
      </c>
      <c r="M4" s="19" t="s">
        <v>47</v>
      </c>
      <c r="N4" s="19" t="s">
        <v>49</v>
      </c>
      <c r="O4" s="16" t="s">
        <v>21</v>
      </c>
      <c r="P4" s="16" t="s">
        <v>38</v>
      </c>
    </row>
    <row r="5" spans="1:16" ht="19.5" customHeight="1" x14ac:dyDescent="0.25">
      <c r="A5" s="3" t="s">
        <v>1</v>
      </c>
      <c r="B5">
        <v>7500</v>
      </c>
      <c r="C5">
        <v>2400</v>
      </c>
      <c r="D5" s="4">
        <f>SQRT(B5*4/C5/3.14159)*1000</f>
        <v>1994.7122444380184</v>
      </c>
      <c r="E5">
        <v>2000</v>
      </c>
      <c r="F5" s="4">
        <v>4</v>
      </c>
      <c r="G5" s="4">
        <f>3.14159*E5*C5*F5*7.85/1000000</f>
        <v>473.50044479999991</v>
      </c>
      <c r="H5" s="4">
        <f>E5*E5*1.22*1.22*F5*7.85*2/1000000</f>
        <v>373.88607999999999</v>
      </c>
      <c r="I5" s="4">
        <f t="shared" ref="I5:I14" si="0">G5*0.2</f>
        <v>94.700088959999988</v>
      </c>
      <c r="J5" s="8">
        <f>(G5+H5+I5)*E1</f>
        <v>188417.32275200001</v>
      </c>
      <c r="K5" s="4">
        <f t="shared" ref="K5:K14" si="1">G5+H5+I5</f>
        <v>942.08661375999998</v>
      </c>
      <c r="L5" s="4">
        <f>K5*0.8</f>
        <v>753.66929100800007</v>
      </c>
      <c r="M5" s="4">
        <f>K5+L5</f>
        <v>1695.7559047680002</v>
      </c>
      <c r="N5" s="4">
        <f>M5</f>
        <v>1695.7559047680002</v>
      </c>
      <c r="O5" s="13" t="s">
        <v>29</v>
      </c>
      <c r="P5" s="4">
        <f>B3*0.95/16</f>
        <v>5937.5</v>
      </c>
    </row>
    <row r="6" spans="1:16" ht="19.5" customHeight="1" x14ac:dyDescent="0.25">
      <c r="A6" t="s">
        <v>23</v>
      </c>
      <c r="B6">
        <v>30000</v>
      </c>
      <c r="C6">
        <v>4000</v>
      </c>
      <c r="D6" s="4">
        <f>SQRT(B6*4/C6/3.14159)*1000</f>
        <v>3090.194921273785</v>
      </c>
      <c r="E6">
        <v>3000</v>
      </c>
      <c r="F6" s="4">
        <v>8</v>
      </c>
      <c r="G6" s="4">
        <f>3.14159*E6*C6*F6*7.85*2/1000000</f>
        <v>4735.0044479999997</v>
      </c>
      <c r="H6" s="4">
        <f>E6*E6*1.22*1.22*F6*7.85*2/1000000</f>
        <v>1682.4873600000001</v>
      </c>
      <c r="I6" s="4">
        <f t="shared" si="0"/>
        <v>947.00088959999994</v>
      </c>
      <c r="J6" s="8">
        <f>(G6+H6+I6)*E1</f>
        <v>1472898.5395199999</v>
      </c>
      <c r="K6" s="4">
        <f t="shared" si="1"/>
        <v>7364.4926975999997</v>
      </c>
      <c r="L6" s="4">
        <f t="shared" ref="L6:L14" si="2">K6*0.8</f>
        <v>5891.5941580799999</v>
      </c>
      <c r="M6" s="4">
        <f t="shared" ref="M6:M14" si="3">K6+L6</f>
        <v>13256.08685568</v>
      </c>
      <c r="N6" s="4">
        <f t="shared" ref="N6:N14" si="4">M6</f>
        <v>13256.08685568</v>
      </c>
      <c r="O6" s="13" t="s">
        <v>30</v>
      </c>
      <c r="P6" s="4">
        <f>B3*0.15/16</f>
        <v>937.5</v>
      </c>
    </row>
    <row r="7" spans="1:16" ht="19.5" customHeight="1" x14ac:dyDescent="0.25">
      <c r="A7" t="s">
        <v>7</v>
      </c>
      <c r="B7" s="4">
        <f>3.14159*C7*E7*E7/4000000</f>
        <v>248.87283281250001</v>
      </c>
      <c r="C7">
        <v>3000</v>
      </c>
      <c r="D7" s="4"/>
      <c r="E7">
        <v>325</v>
      </c>
      <c r="F7" s="4">
        <v>6</v>
      </c>
      <c r="G7" s="4">
        <f>3.14159*E7*C7*F7*7.85/1000000</f>
        <v>144.26966677500002</v>
      </c>
      <c r="H7" s="4">
        <f>E7*E7*1.22*1.22*F7*7.85/1000000</f>
        <v>7.4046969749999993</v>
      </c>
      <c r="I7" s="4">
        <f t="shared" si="0"/>
        <v>28.853933355000006</v>
      </c>
      <c r="J7" s="8">
        <f>(G7+H7+I7)*E1*1.5</f>
        <v>54158.489131500006</v>
      </c>
      <c r="K7" s="4">
        <f t="shared" si="1"/>
        <v>180.52829710500004</v>
      </c>
      <c r="L7" s="4">
        <f t="shared" si="2"/>
        <v>144.42263768400002</v>
      </c>
      <c r="M7" s="4">
        <f t="shared" si="3"/>
        <v>324.95093478900003</v>
      </c>
      <c r="N7" s="4">
        <f t="shared" si="4"/>
        <v>324.95093478900003</v>
      </c>
      <c r="O7" s="13" t="s">
        <v>31</v>
      </c>
      <c r="P7" s="4">
        <f>B3*0.5/16</f>
        <v>3125</v>
      </c>
    </row>
    <row r="8" spans="1:16" ht="19.5" customHeight="1" x14ac:dyDescent="0.25">
      <c r="A8" t="s">
        <v>24</v>
      </c>
      <c r="B8">
        <v>3000</v>
      </c>
      <c r="C8">
        <v>1800</v>
      </c>
      <c r="D8" s="4">
        <f>SQRT(B8*4/C8/3.14159)*1000</f>
        <v>1456.7318560139486</v>
      </c>
      <c r="E8">
        <v>1500</v>
      </c>
      <c r="F8" s="4">
        <v>6</v>
      </c>
      <c r="G8" s="4">
        <f>3.14159*E8*C8*F8*7.85/1000000</f>
        <v>399.51600029999997</v>
      </c>
      <c r="H8" s="4">
        <f>E8*E8*1.22*1.22*F8*7.85*2/1000000</f>
        <v>315.46638000000002</v>
      </c>
      <c r="I8" s="4">
        <f t="shared" si="0"/>
        <v>79.903200060000003</v>
      </c>
      <c r="J8" s="8">
        <f>(G8+H8+I8)*E1</f>
        <v>158977.116072</v>
      </c>
      <c r="K8" s="4">
        <f t="shared" si="1"/>
        <v>794.88558035999995</v>
      </c>
      <c r="L8" s="4">
        <f t="shared" si="2"/>
        <v>635.908464288</v>
      </c>
      <c r="M8" s="4">
        <f t="shared" si="3"/>
        <v>1430.794044648</v>
      </c>
      <c r="N8" s="4">
        <f t="shared" si="4"/>
        <v>1430.794044648</v>
      </c>
      <c r="O8" s="13" t="s">
        <v>22</v>
      </c>
      <c r="P8" s="4">
        <f>B3*0.5/16</f>
        <v>3125</v>
      </c>
    </row>
    <row r="9" spans="1:16" ht="19.5" customHeight="1" x14ac:dyDescent="0.25">
      <c r="A9" t="s">
        <v>8</v>
      </c>
      <c r="B9">
        <v>15000</v>
      </c>
      <c r="C9" s="10">
        <v>3000</v>
      </c>
      <c r="D9" s="4">
        <f>SQRT(B9*4/C9/3.14159)*1000</f>
        <v>2523.1335876202693</v>
      </c>
      <c r="E9">
        <v>2500</v>
      </c>
      <c r="F9" s="4">
        <v>8</v>
      </c>
      <c r="G9" s="4">
        <f>3.14159*E9*C9*F9*7.85*2/1000000</f>
        <v>2959.3777799999998</v>
      </c>
      <c r="H9" s="4">
        <f>E9*E9*1.22*1.22*F9*7.85*2/1000000</f>
        <v>1168.394</v>
      </c>
      <c r="I9" s="4">
        <f t="shared" si="0"/>
        <v>591.87555599999996</v>
      </c>
      <c r="J9" s="8">
        <f>(G9+H9+I9)*E1</f>
        <v>943929.46719999996</v>
      </c>
      <c r="K9" s="4">
        <f t="shared" si="1"/>
        <v>4719.647336</v>
      </c>
      <c r="L9" s="4">
        <f t="shared" si="2"/>
        <v>3775.7178688000004</v>
      </c>
      <c r="M9" s="4">
        <f t="shared" si="3"/>
        <v>8495.3652048000004</v>
      </c>
      <c r="N9" s="4">
        <f t="shared" si="4"/>
        <v>8495.3652048000004</v>
      </c>
      <c r="O9" s="13" t="s">
        <v>32</v>
      </c>
      <c r="P9" s="4">
        <f>B3*0.15/16</f>
        <v>937.5</v>
      </c>
    </row>
    <row r="10" spans="1:16" ht="19.5" customHeight="1" x14ac:dyDescent="0.25">
      <c r="A10" t="s">
        <v>25</v>
      </c>
      <c r="B10" s="4">
        <f>3.14159*C10*E10*E10/4000000</f>
        <v>497.74566562500002</v>
      </c>
      <c r="C10" s="10">
        <v>6000</v>
      </c>
      <c r="D10" s="4"/>
      <c r="E10">
        <v>325</v>
      </c>
      <c r="F10" s="4">
        <v>6</v>
      </c>
      <c r="G10" s="4">
        <f>3.14159*E10*C10*F10*7.85/1000000</f>
        <v>288.53933355000004</v>
      </c>
      <c r="H10" s="4">
        <f>E10*E10*1.22*1.22*F10*7.85/1000000</f>
        <v>7.4046969749999993</v>
      </c>
      <c r="I10" s="4">
        <f t="shared" si="0"/>
        <v>57.707866710000012</v>
      </c>
      <c r="J10" s="8">
        <f>(G10+H10+I10)*E1</f>
        <v>70730.379447000014</v>
      </c>
      <c r="K10" s="4">
        <f t="shared" si="1"/>
        <v>353.65189723500004</v>
      </c>
      <c r="L10" s="4">
        <f t="shared" si="2"/>
        <v>282.92151778800002</v>
      </c>
      <c r="M10" s="4">
        <f t="shared" si="3"/>
        <v>636.57341502300005</v>
      </c>
      <c r="N10" s="4">
        <f t="shared" si="4"/>
        <v>636.57341502300005</v>
      </c>
      <c r="O10" s="13" t="s">
        <v>33</v>
      </c>
      <c r="P10" s="4">
        <f>B3*0.5/16</f>
        <v>3125</v>
      </c>
    </row>
    <row r="11" spans="1:16" ht="19.5" customHeight="1" x14ac:dyDescent="0.25">
      <c r="A11" t="s">
        <v>9</v>
      </c>
      <c r="B11">
        <v>7500</v>
      </c>
      <c r="C11" s="10">
        <v>2400</v>
      </c>
      <c r="D11" s="4">
        <f>SQRT(B11*4/C11/3.14159)*1000</f>
        <v>1994.7122444380184</v>
      </c>
      <c r="E11">
        <v>2000</v>
      </c>
      <c r="F11" s="4">
        <v>6</v>
      </c>
      <c r="G11" s="4">
        <f>3.14159*E11*C11*F11*7.85/1000000</f>
        <v>710.25066719999984</v>
      </c>
      <c r="H11" s="4">
        <f>E11*E11*1.22*1.22*F11*7.85*2/1000000</f>
        <v>560.82911999999999</v>
      </c>
      <c r="I11" s="4">
        <f t="shared" si="0"/>
        <v>142.05013343999997</v>
      </c>
      <c r="J11" s="8">
        <f>(G11+H11+I11)*E1*2.5</f>
        <v>706564.96031999995</v>
      </c>
      <c r="K11" s="4">
        <f t="shared" si="1"/>
        <v>1413.1299206399999</v>
      </c>
      <c r="L11" s="4">
        <f t="shared" si="2"/>
        <v>1130.5039365119999</v>
      </c>
      <c r="M11" s="4">
        <f t="shared" si="3"/>
        <v>2543.633857152</v>
      </c>
      <c r="N11" s="4">
        <f t="shared" si="4"/>
        <v>2543.633857152</v>
      </c>
    </row>
    <row r="12" spans="1:16" ht="19.5" customHeight="1" x14ac:dyDescent="0.25">
      <c r="A12" t="s">
        <v>26</v>
      </c>
      <c r="B12">
        <v>15000</v>
      </c>
      <c r="C12" s="10">
        <v>4000</v>
      </c>
      <c r="D12" s="4">
        <f>SQRT(B12*4/C12/3.14159)*1000</f>
        <v>2185.0977840209225</v>
      </c>
      <c r="E12">
        <v>2200</v>
      </c>
      <c r="F12" s="4">
        <v>8</v>
      </c>
      <c r="G12" s="4">
        <f>3.14159*E12*C12*F12*7.85*2/1000000</f>
        <v>3472.3365951999999</v>
      </c>
      <c r="H12" s="4">
        <f>E12*E12*1.22*1.22*F12*7.85*2/1000000</f>
        <v>904.80431359999989</v>
      </c>
      <c r="I12" s="4">
        <f t="shared" si="0"/>
        <v>694.46731904000001</v>
      </c>
      <c r="J12" s="8">
        <f>(G12+H12+I12)*E1</f>
        <v>1014321.645568</v>
      </c>
      <c r="K12" s="4">
        <f t="shared" si="1"/>
        <v>5071.6082278399999</v>
      </c>
      <c r="L12" s="4">
        <f t="shared" si="2"/>
        <v>4057.286582272</v>
      </c>
      <c r="M12" s="4">
        <f t="shared" si="3"/>
        <v>9128.8948101120004</v>
      </c>
      <c r="N12" s="4">
        <f t="shared" si="4"/>
        <v>9128.8948101120004</v>
      </c>
    </row>
    <row r="13" spans="1:16" ht="19.5" customHeight="1" x14ac:dyDescent="0.25">
      <c r="A13" t="s">
        <v>27</v>
      </c>
      <c r="B13" s="4">
        <f>3.14159*C13*E13*E13/4000000</f>
        <v>497.74566562500002</v>
      </c>
      <c r="C13" s="10">
        <v>6000</v>
      </c>
      <c r="D13" s="4"/>
      <c r="E13">
        <v>325</v>
      </c>
      <c r="F13" s="4">
        <v>6</v>
      </c>
      <c r="G13" s="4">
        <f>3.14159*E13*C13*F13*7.85/1000000</f>
        <v>288.53933355000004</v>
      </c>
      <c r="H13" s="4">
        <f>E13*E13*1.22*1.22*F13*7.85/1000000</f>
        <v>7.4046969749999993</v>
      </c>
      <c r="I13" s="4">
        <f t="shared" si="0"/>
        <v>57.707866710000012</v>
      </c>
      <c r="J13" s="8">
        <f>(G13+H13+I13)*E1</f>
        <v>70730.379447000014</v>
      </c>
      <c r="K13" s="4">
        <f t="shared" si="1"/>
        <v>353.65189723500004</v>
      </c>
      <c r="L13" s="4">
        <f t="shared" si="2"/>
        <v>282.92151778800002</v>
      </c>
      <c r="M13" s="4">
        <f t="shared" si="3"/>
        <v>636.57341502300005</v>
      </c>
      <c r="N13" s="4">
        <f t="shared" si="4"/>
        <v>636.57341502300005</v>
      </c>
    </row>
    <row r="14" spans="1:16" ht="19.5" customHeight="1" x14ac:dyDescent="0.25">
      <c r="A14" t="s">
        <v>28</v>
      </c>
      <c r="B14">
        <v>7500</v>
      </c>
      <c r="C14" s="10">
        <v>2400</v>
      </c>
      <c r="D14" s="4">
        <f>SQRT(B14*4/C14/3.14159)*1000</f>
        <v>1994.7122444380184</v>
      </c>
      <c r="E14">
        <v>2000</v>
      </c>
      <c r="F14" s="4">
        <v>8</v>
      </c>
      <c r="G14" s="4">
        <f>3.14159*E14*C14*F14*7.85/1000000</f>
        <v>947.00088959999982</v>
      </c>
      <c r="H14" s="4">
        <f>E14*E14*1.22*1.22*F14*7.85*2/1000000</f>
        <v>747.77215999999999</v>
      </c>
      <c r="I14" s="4">
        <f t="shared" si="0"/>
        <v>189.40017791999998</v>
      </c>
      <c r="J14" s="8">
        <f>(G14+H14+I14)*E1</f>
        <v>376834.64550400001</v>
      </c>
      <c r="K14" s="4">
        <f t="shared" si="1"/>
        <v>1884.17322752</v>
      </c>
      <c r="L14" s="4">
        <f t="shared" si="2"/>
        <v>1507.3385820160001</v>
      </c>
      <c r="M14" s="4">
        <f t="shared" si="3"/>
        <v>3391.5118095360003</v>
      </c>
      <c r="N14" s="4">
        <f t="shared" si="4"/>
        <v>3391.5118095360003</v>
      </c>
    </row>
    <row r="15" spans="1:16" ht="19.5" customHeight="1" x14ac:dyDescent="0.25">
      <c r="C15" s="10"/>
      <c r="D15" s="4"/>
      <c r="F15" s="5"/>
      <c r="G15" s="5"/>
      <c r="H15" s="5"/>
      <c r="I15" s="5" t="s">
        <v>13</v>
      </c>
      <c r="J15" s="8">
        <f>SUM(J5:J14)</f>
        <v>5057562.9449614994</v>
      </c>
      <c r="K15" s="13"/>
      <c r="L15" s="4"/>
      <c r="M15" s="5"/>
      <c r="O15" s="5"/>
    </row>
    <row r="16" spans="1:16" ht="19.5" customHeight="1" x14ac:dyDescent="0.25">
      <c r="A16" t="s">
        <v>40</v>
      </c>
      <c r="E16" t="s">
        <v>39</v>
      </c>
      <c r="F16">
        <f>B3*80/24*5</f>
        <v>1666666.6666666665</v>
      </c>
      <c r="G16">
        <v>2000000</v>
      </c>
      <c r="H16" s="5"/>
      <c r="I16" s="5"/>
      <c r="J16" s="8"/>
      <c r="K16" s="13"/>
      <c r="L16" s="4"/>
      <c r="M16" s="5"/>
      <c r="O16" s="5"/>
    </row>
    <row r="17" spans="1:16" ht="19.5" customHeight="1" x14ac:dyDescent="0.25">
      <c r="A17" t="s">
        <v>17</v>
      </c>
      <c r="E17" t="s">
        <v>19</v>
      </c>
      <c r="G17" s="4">
        <f>F16*0.2/3/60</f>
        <v>1851.8518518518517</v>
      </c>
      <c r="H17" s="5"/>
      <c r="I17" s="5"/>
      <c r="J17" s="8"/>
      <c r="K17" s="13"/>
      <c r="L17" s="4"/>
      <c r="M17" s="5"/>
      <c r="O17" s="5"/>
    </row>
    <row r="18" spans="1:16" ht="19.5" customHeight="1" x14ac:dyDescent="0.25">
      <c r="A18" s="16"/>
      <c r="B18" s="16"/>
      <c r="C18" s="16"/>
      <c r="D18" s="16"/>
      <c r="M18" s="5"/>
      <c r="O18" s="5"/>
    </row>
    <row r="19" spans="1:16" ht="19.5" customHeight="1" x14ac:dyDescent="0.25">
      <c r="A19" t="s">
        <v>35</v>
      </c>
      <c r="B19">
        <v>30000</v>
      </c>
      <c r="C19" t="s">
        <v>158</v>
      </c>
      <c r="D19">
        <v>20000</v>
      </c>
      <c r="E19" t="s">
        <v>159</v>
      </c>
    </row>
    <row r="20" spans="1:16" ht="57" customHeight="1" x14ac:dyDescent="0.25">
      <c r="A20" s="16" t="s">
        <v>3</v>
      </c>
      <c r="B20" s="16" t="s">
        <v>34</v>
      </c>
      <c r="C20" s="16" t="s">
        <v>4</v>
      </c>
      <c r="D20" s="16" t="s">
        <v>5</v>
      </c>
      <c r="E20" s="16" t="s">
        <v>6</v>
      </c>
      <c r="F20" s="16" t="s">
        <v>10</v>
      </c>
      <c r="G20" s="16" t="s">
        <v>138</v>
      </c>
      <c r="H20" s="16" t="s">
        <v>12</v>
      </c>
      <c r="I20" s="16" t="s">
        <v>156</v>
      </c>
      <c r="J20" s="15" t="s">
        <v>11</v>
      </c>
      <c r="K20" s="19" t="s">
        <v>46</v>
      </c>
      <c r="L20" s="19" t="s">
        <v>48</v>
      </c>
      <c r="M20" s="19" t="s">
        <v>47</v>
      </c>
      <c r="N20" s="19" t="s">
        <v>49</v>
      </c>
      <c r="O20" s="16" t="s">
        <v>21</v>
      </c>
      <c r="P20" s="16" t="s">
        <v>38</v>
      </c>
    </row>
    <row r="21" spans="1:16" ht="19.5" customHeight="1" x14ac:dyDescent="0.25">
      <c r="A21" s="3" t="s">
        <v>1</v>
      </c>
      <c r="B21">
        <v>2250</v>
      </c>
      <c r="C21">
        <v>1500</v>
      </c>
      <c r="D21" s="4">
        <f>SQRT(B21*4/C21/3.14159)*1000</f>
        <v>1381.9771815385591</v>
      </c>
      <c r="E21">
        <v>1400</v>
      </c>
      <c r="F21" s="4">
        <v>4</v>
      </c>
      <c r="G21" s="4">
        <f>3.14159*E21*C21*F21*7.85/1000000</f>
        <v>207.15644459999996</v>
      </c>
      <c r="H21" s="4">
        <f>E21*E21*1.22*1.22*F21*7.85*2/1000000</f>
        <v>183.2041792</v>
      </c>
      <c r="I21" s="4">
        <f t="shared" ref="I21:I30" si="5">G21*0.2</f>
        <v>41.431288919999993</v>
      </c>
      <c r="J21" s="8">
        <f>(G21+H21+I21)*E1</f>
        <v>86358.382543999993</v>
      </c>
      <c r="K21" s="4">
        <f t="shared" ref="K21:K30" si="6">G21+H21+I21</f>
        <v>431.79191271999997</v>
      </c>
      <c r="L21" s="4">
        <f>K21*0.8</f>
        <v>345.43353017599998</v>
      </c>
      <c r="M21" s="4">
        <f>K21+L21</f>
        <v>777.225442896</v>
      </c>
      <c r="N21" s="4">
        <f>M21</f>
        <v>777.225442896</v>
      </c>
      <c r="O21" s="13" t="s">
        <v>29</v>
      </c>
      <c r="P21" s="4">
        <f>B19*0.95/16</f>
        <v>1781.25</v>
      </c>
    </row>
    <row r="22" spans="1:16" ht="19.5" customHeight="1" x14ac:dyDescent="0.25">
      <c r="A22" t="s">
        <v>23</v>
      </c>
      <c r="B22">
        <v>9000</v>
      </c>
      <c r="C22">
        <v>2400</v>
      </c>
      <c r="D22" s="4">
        <f>SQRT(B22*4/C22/3.14159)*1000</f>
        <v>2185.0977840209225</v>
      </c>
      <c r="E22">
        <v>2200</v>
      </c>
      <c r="F22" s="4">
        <v>8</v>
      </c>
      <c r="G22" s="4">
        <f>3.14159*E22*C22*F22*7.85*2/1000000</f>
        <v>2083.4019571199997</v>
      </c>
      <c r="H22" s="4">
        <f>E22*E22*1.22*1.22*F22*7.85*2/1000000</f>
        <v>904.80431359999989</v>
      </c>
      <c r="I22" s="4">
        <f t="shared" si="5"/>
        <v>416.68039142399994</v>
      </c>
      <c r="J22" s="8">
        <f>(G22+H22+I22)*E1</f>
        <v>680977.33242879983</v>
      </c>
      <c r="K22" s="4">
        <f t="shared" si="6"/>
        <v>3404.8866621439993</v>
      </c>
      <c r="L22" s="4">
        <f t="shared" ref="L22:L30" si="7">K22*0.8</f>
        <v>2723.9093297151994</v>
      </c>
      <c r="M22" s="4">
        <f t="shared" ref="M22:M30" si="8">K22+L22</f>
        <v>6128.7959918591987</v>
      </c>
      <c r="N22" s="4">
        <f t="shared" ref="N22:N30" si="9">M22</f>
        <v>6128.7959918591987</v>
      </c>
      <c r="O22" s="13" t="s">
        <v>30</v>
      </c>
      <c r="P22" s="4">
        <f>B19*0.15/16</f>
        <v>281.25</v>
      </c>
    </row>
    <row r="23" spans="1:16" ht="19.5" customHeight="1" x14ac:dyDescent="0.25">
      <c r="A23" t="s">
        <v>7</v>
      </c>
      <c r="B23" s="4">
        <f>3.14159*C23*E23*E23/4000000</f>
        <v>248.87283281250001</v>
      </c>
      <c r="C23">
        <v>3000</v>
      </c>
      <c r="D23" s="4"/>
      <c r="E23">
        <v>325</v>
      </c>
      <c r="F23" s="4">
        <v>6</v>
      </c>
      <c r="G23" s="4">
        <f>3.14159*E23*C23*F23*7.85/1000000</f>
        <v>144.26966677500002</v>
      </c>
      <c r="H23" s="4">
        <f>E23*E23*1.22*1.22*F23*7.85/1000000</f>
        <v>7.4046969749999993</v>
      </c>
      <c r="I23" s="4">
        <f t="shared" si="5"/>
        <v>28.853933355000006</v>
      </c>
      <c r="J23" s="8">
        <f>(G23+H23+I23)*E1*1.5</f>
        <v>54158.489131500006</v>
      </c>
      <c r="K23" s="4">
        <f t="shared" si="6"/>
        <v>180.52829710500004</v>
      </c>
      <c r="L23" s="4">
        <f t="shared" si="7"/>
        <v>144.42263768400002</v>
      </c>
      <c r="M23" s="4">
        <f t="shared" si="8"/>
        <v>324.95093478900003</v>
      </c>
      <c r="N23" s="4">
        <f t="shared" si="9"/>
        <v>324.95093478900003</v>
      </c>
      <c r="O23" s="13" t="s">
        <v>31</v>
      </c>
      <c r="P23" s="4">
        <f>B19*0.5/16</f>
        <v>937.5</v>
      </c>
    </row>
    <row r="24" spans="1:16" ht="19.5" customHeight="1" x14ac:dyDescent="0.25">
      <c r="A24" t="s">
        <v>24</v>
      </c>
      <c r="B24">
        <v>900</v>
      </c>
      <c r="C24">
        <v>1200</v>
      </c>
      <c r="D24" s="4">
        <f>SQRT(B24*4/C24/3.14159)*1000</f>
        <v>977.20543651098751</v>
      </c>
      <c r="E24">
        <v>1000</v>
      </c>
      <c r="F24" s="4">
        <v>6</v>
      </c>
      <c r="G24" s="4">
        <f>3.14159*E24*C24*F24*7.85/1000000</f>
        <v>177.56266679999996</v>
      </c>
      <c r="H24" s="4">
        <f>E24*E24*1.22*1.22*F24*7.85*2/1000000</f>
        <v>140.20728</v>
      </c>
      <c r="I24" s="4">
        <f t="shared" si="5"/>
        <v>35.512533359999992</v>
      </c>
      <c r="J24" s="8">
        <f>(G24+H24+I24)*E1</f>
        <v>70656.496031999995</v>
      </c>
      <c r="K24" s="4">
        <f t="shared" si="6"/>
        <v>353.28248015999998</v>
      </c>
      <c r="L24" s="4">
        <f t="shared" si="7"/>
        <v>282.62598412799997</v>
      </c>
      <c r="M24" s="4">
        <f t="shared" si="8"/>
        <v>635.908464288</v>
      </c>
      <c r="N24" s="4">
        <f t="shared" si="9"/>
        <v>635.908464288</v>
      </c>
      <c r="O24" s="13" t="s">
        <v>22</v>
      </c>
      <c r="P24" s="4">
        <f>B19*0.5/16</f>
        <v>937.5</v>
      </c>
    </row>
    <row r="25" spans="1:16" ht="19.5" customHeight="1" x14ac:dyDescent="0.25">
      <c r="A25" t="s">
        <v>8</v>
      </c>
      <c r="B25">
        <v>4500</v>
      </c>
      <c r="C25" s="10">
        <v>2000</v>
      </c>
      <c r="D25" s="4">
        <f>SQRT(B25*4/C25/3.14159)*1000</f>
        <v>1692.5694654695531</v>
      </c>
      <c r="E25">
        <v>1700</v>
      </c>
      <c r="F25" s="4">
        <v>8</v>
      </c>
      <c r="G25" s="4">
        <f>3.14159*E25*C25*F25*7.85*2/1000000</f>
        <v>1341.5845935999996</v>
      </c>
      <c r="H25" s="4">
        <f>E25*E25*1.22*1.22*F25*7.85*2/1000000</f>
        <v>540.26538560000006</v>
      </c>
      <c r="I25" s="4">
        <f t="shared" si="5"/>
        <v>268.31691871999993</v>
      </c>
      <c r="J25" s="8">
        <f>(G25+H25+I25)*E1</f>
        <v>430033.37958399998</v>
      </c>
      <c r="K25" s="4">
        <f t="shared" si="6"/>
        <v>2150.1668979199999</v>
      </c>
      <c r="L25" s="4">
        <f t="shared" si="7"/>
        <v>1720.133518336</v>
      </c>
      <c r="M25" s="4">
        <f t="shared" si="8"/>
        <v>3870.3004162560001</v>
      </c>
      <c r="N25" s="4">
        <f t="shared" si="9"/>
        <v>3870.3004162560001</v>
      </c>
      <c r="O25" s="13" t="s">
        <v>32</v>
      </c>
      <c r="P25" s="4">
        <f>B19*0.15/16</f>
        <v>281.25</v>
      </c>
    </row>
    <row r="26" spans="1:16" ht="19.5" customHeight="1" x14ac:dyDescent="0.25">
      <c r="A26" t="s">
        <v>25</v>
      </c>
      <c r="B26" s="4">
        <f>3.14159*C26*E26*E26/4000000</f>
        <v>497.74566562500002</v>
      </c>
      <c r="C26" s="10">
        <v>6000</v>
      </c>
      <c r="D26" s="4"/>
      <c r="E26">
        <v>325</v>
      </c>
      <c r="F26" s="4">
        <v>6</v>
      </c>
      <c r="G26" s="4">
        <f>3.14159*E26*C26*F26*7.85/1000000</f>
        <v>288.53933355000004</v>
      </c>
      <c r="H26" s="4">
        <f>E26*E26*1.22*1.22*F26*7.85/1000000</f>
        <v>7.4046969749999993</v>
      </c>
      <c r="I26" s="4">
        <f t="shared" si="5"/>
        <v>57.707866710000012</v>
      </c>
      <c r="J26" s="8">
        <f>(G26+H26+I26)*E1</f>
        <v>70730.379447000014</v>
      </c>
      <c r="K26" s="4">
        <f t="shared" si="6"/>
        <v>353.65189723500004</v>
      </c>
      <c r="L26" s="4">
        <f t="shared" si="7"/>
        <v>282.92151778800002</v>
      </c>
      <c r="M26" s="4">
        <f t="shared" si="8"/>
        <v>636.57341502300005</v>
      </c>
      <c r="N26" s="4">
        <f t="shared" si="9"/>
        <v>636.57341502300005</v>
      </c>
      <c r="O26" s="13" t="s">
        <v>33</v>
      </c>
      <c r="P26" s="4">
        <f>B19*0.5/16</f>
        <v>937.5</v>
      </c>
    </row>
    <row r="27" spans="1:16" ht="19.5" customHeight="1" x14ac:dyDescent="0.25">
      <c r="A27" t="s">
        <v>9</v>
      </c>
      <c r="B27">
        <v>2250</v>
      </c>
      <c r="C27" s="10">
        <v>1500</v>
      </c>
      <c r="D27" s="4">
        <f>SQRT(B27*4/C27/3.14159)*1000</f>
        <v>1381.9771815385591</v>
      </c>
      <c r="E27">
        <v>1400</v>
      </c>
      <c r="F27" s="4">
        <v>6</v>
      </c>
      <c r="G27" s="4">
        <f>3.14159*E27*C27*F27*7.85/1000000</f>
        <v>310.73466689999992</v>
      </c>
      <c r="H27" s="4">
        <f>E27*E27*1.22*1.22*F27*7.85*2/1000000</f>
        <v>274.8062688</v>
      </c>
      <c r="I27" s="4">
        <f t="shared" si="5"/>
        <v>62.146933379999986</v>
      </c>
      <c r="J27" s="8">
        <f>(G27+H27+I27)*E1*2.5</f>
        <v>323843.93453999993</v>
      </c>
      <c r="K27" s="4">
        <f t="shared" si="6"/>
        <v>647.68786907999981</v>
      </c>
      <c r="L27" s="4">
        <f t="shared" si="7"/>
        <v>518.15029526399985</v>
      </c>
      <c r="M27" s="4">
        <f t="shared" si="8"/>
        <v>1165.8381643439998</v>
      </c>
      <c r="N27" s="4">
        <f t="shared" si="9"/>
        <v>1165.8381643439998</v>
      </c>
    </row>
    <row r="28" spans="1:16" ht="19.5" customHeight="1" x14ac:dyDescent="0.25">
      <c r="A28" t="s">
        <v>26</v>
      </c>
      <c r="B28">
        <v>4500</v>
      </c>
      <c r="C28" s="10">
        <v>2000</v>
      </c>
      <c r="D28" s="4">
        <f>SQRT(B28*4/C28/3.14159)*1000</f>
        <v>1692.5694654695531</v>
      </c>
      <c r="E28">
        <v>1700</v>
      </c>
      <c r="F28" s="4">
        <v>8</v>
      </c>
      <c r="G28" s="4">
        <f>3.14159*E28*C28*F28*7.85*2/1000000</f>
        <v>1341.5845935999996</v>
      </c>
      <c r="H28" s="4">
        <f>E28*E28*1.22*1.22*F28*7.85*2/1000000</f>
        <v>540.26538560000006</v>
      </c>
      <c r="I28" s="4">
        <f t="shared" si="5"/>
        <v>268.31691871999993</v>
      </c>
      <c r="J28" s="8">
        <f>(G28+H28+I28)*E1</f>
        <v>430033.37958399998</v>
      </c>
      <c r="K28" s="4">
        <f t="shared" si="6"/>
        <v>2150.1668979199999</v>
      </c>
      <c r="L28" s="4">
        <f t="shared" si="7"/>
        <v>1720.133518336</v>
      </c>
      <c r="M28" s="4">
        <f t="shared" si="8"/>
        <v>3870.3004162560001</v>
      </c>
      <c r="N28" s="4">
        <f t="shared" si="9"/>
        <v>3870.3004162560001</v>
      </c>
    </row>
    <row r="29" spans="1:16" ht="19.5" customHeight="1" x14ac:dyDescent="0.25">
      <c r="A29" t="s">
        <v>27</v>
      </c>
      <c r="B29" s="4">
        <f>3.14159*C29*E29*E29/4000000</f>
        <v>497.74566562500002</v>
      </c>
      <c r="C29" s="10">
        <v>6000</v>
      </c>
      <c r="D29" s="4"/>
      <c r="E29">
        <v>325</v>
      </c>
      <c r="F29" s="4">
        <v>6</v>
      </c>
      <c r="G29" s="4">
        <f>3.14159*E29*C29*F29*7.85/1000000</f>
        <v>288.53933355000004</v>
      </c>
      <c r="H29" s="4">
        <f>E29*E29*1.22*1.22*F29*7.85/1000000</f>
        <v>7.4046969749999993</v>
      </c>
      <c r="I29" s="4">
        <f t="shared" si="5"/>
        <v>57.707866710000012</v>
      </c>
      <c r="J29" s="8">
        <f>(G29+H29+I29)*E1</f>
        <v>70730.379447000014</v>
      </c>
      <c r="K29" s="4">
        <f t="shared" si="6"/>
        <v>353.65189723500004</v>
      </c>
      <c r="L29" s="4">
        <f t="shared" si="7"/>
        <v>282.92151778800002</v>
      </c>
      <c r="M29" s="4">
        <f t="shared" si="8"/>
        <v>636.57341502300005</v>
      </c>
      <c r="N29" s="4">
        <f t="shared" si="9"/>
        <v>636.57341502300005</v>
      </c>
    </row>
    <row r="30" spans="1:16" ht="19.5" customHeight="1" x14ac:dyDescent="0.25">
      <c r="A30" t="s">
        <v>28</v>
      </c>
      <c r="B30">
        <v>2250</v>
      </c>
      <c r="C30" s="10">
        <v>1500</v>
      </c>
      <c r="D30" s="4">
        <f>SQRT(B30*4/C30/3.14159)*1000</f>
        <v>1381.9771815385591</v>
      </c>
      <c r="E30">
        <v>1400</v>
      </c>
      <c r="F30" s="4">
        <v>8</v>
      </c>
      <c r="G30" s="4">
        <f>3.14159*E30*C30*F30*7.85/1000000</f>
        <v>414.31288919999992</v>
      </c>
      <c r="H30" s="4">
        <f>E30*E30*1.22*1.22*F30*7.85*2/1000000</f>
        <v>366.4083584</v>
      </c>
      <c r="I30" s="4">
        <f t="shared" si="5"/>
        <v>82.862577839999986</v>
      </c>
      <c r="J30" s="8">
        <f>(G30+H30+I30)*E1</f>
        <v>172716.76508799999</v>
      </c>
      <c r="K30" s="4">
        <f t="shared" si="6"/>
        <v>863.58382543999994</v>
      </c>
      <c r="L30" s="4">
        <f t="shared" si="7"/>
        <v>690.86706035199995</v>
      </c>
      <c r="M30" s="4">
        <f t="shared" si="8"/>
        <v>1554.450885792</v>
      </c>
      <c r="N30" s="4">
        <f t="shared" si="9"/>
        <v>1554.450885792</v>
      </c>
    </row>
    <row r="31" spans="1:16" ht="19.5" customHeight="1" x14ac:dyDescent="0.25">
      <c r="A31" t="s">
        <v>40</v>
      </c>
      <c r="E31" t="s">
        <v>39</v>
      </c>
      <c r="F31">
        <f>B19*80/24*5</f>
        <v>500000</v>
      </c>
      <c r="H31" s="5"/>
      <c r="I31" s="5" t="s">
        <v>13</v>
      </c>
      <c r="J31" s="8">
        <f>SUM(J21:J30)</f>
        <v>2390238.9178263</v>
      </c>
      <c r="K31" s="13"/>
      <c r="L31" s="4"/>
    </row>
    <row r="32" spans="1:16" ht="19.5" customHeight="1" x14ac:dyDescent="0.25">
      <c r="A32" t="s">
        <v>17</v>
      </c>
      <c r="E32" t="s">
        <v>19</v>
      </c>
      <c r="F32" s="4">
        <f>F31*0.2/3/60</f>
        <v>555.55555555555554</v>
      </c>
      <c r="H32" s="5"/>
      <c r="I32" s="5"/>
      <c r="J32" s="8"/>
      <c r="K32" s="13"/>
      <c r="L32" s="4"/>
    </row>
    <row r="33" spans="1:16" ht="19.5" customHeight="1" x14ac:dyDescent="0.25">
      <c r="A33" s="16"/>
      <c r="B33" s="16"/>
      <c r="C33" s="16"/>
      <c r="D33" s="16"/>
    </row>
    <row r="34" spans="1:16" x14ac:dyDescent="0.25">
      <c r="A34" t="s">
        <v>35</v>
      </c>
      <c r="B34">
        <v>10000</v>
      </c>
      <c r="C34" t="s">
        <v>36</v>
      </c>
    </row>
    <row r="35" spans="1:16" ht="60" x14ac:dyDescent="0.25">
      <c r="A35" s="12" t="s">
        <v>3</v>
      </c>
      <c r="B35" s="12" t="s">
        <v>34</v>
      </c>
      <c r="C35" s="12" t="s">
        <v>4</v>
      </c>
      <c r="D35" s="12" t="s">
        <v>5</v>
      </c>
      <c r="E35" s="12" t="s">
        <v>6</v>
      </c>
      <c r="F35" s="12" t="s">
        <v>10</v>
      </c>
      <c r="G35" s="12" t="s">
        <v>138</v>
      </c>
      <c r="H35" s="12" t="s">
        <v>12</v>
      </c>
      <c r="I35" s="12" t="s">
        <v>156</v>
      </c>
      <c r="J35" s="15" t="s">
        <v>11</v>
      </c>
      <c r="K35" s="19" t="s">
        <v>46</v>
      </c>
      <c r="L35" s="19" t="s">
        <v>48</v>
      </c>
      <c r="M35" s="19" t="s">
        <v>47</v>
      </c>
      <c r="N35" s="19" t="s">
        <v>49</v>
      </c>
      <c r="O35" s="12" t="s">
        <v>21</v>
      </c>
      <c r="P35" s="14" t="s">
        <v>38</v>
      </c>
    </row>
    <row r="36" spans="1:16" x14ac:dyDescent="0.25">
      <c r="A36" s="3" t="s">
        <v>1</v>
      </c>
      <c r="B36">
        <v>750</v>
      </c>
      <c r="C36">
        <v>1200</v>
      </c>
      <c r="D36" s="4">
        <f>SQRT(B36*4/C36/3.14159)*1000</f>
        <v>892.06243482291711</v>
      </c>
      <c r="E36">
        <v>900</v>
      </c>
      <c r="F36" s="4">
        <v>4</v>
      </c>
      <c r="G36" s="4">
        <f>3.14159*E36*C36*F36*7.85/1000000</f>
        <v>106.53760008</v>
      </c>
      <c r="H36" s="4">
        <f>E36*E36*1.22*1.22*F36*7.85*2/1000000</f>
        <v>75.711931200000009</v>
      </c>
      <c r="I36" s="4">
        <f t="shared" ref="I36:I45" si="10">G36*0.2</f>
        <v>21.307520016000002</v>
      </c>
      <c r="J36" s="8">
        <f>(G36+H36+I36)*E1</f>
        <v>40711.410259200005</v>
      </c>
      <c r="K36" s="4">
        <f t="shared" ref="K36:K45" si="11">G36+H36+I36</f>
        <v>203.55705129600003</v>
      </c>
      <c r="L36" s="4">
        <f>K36*0.8</f>
        <v>162.84564103680003</v>
      </c>
      <c r="M36" s="4">
        <f>K36+L36</f>
        <v>366.40269233280003</v>
      </c>
      <c r="N36" s="4">
        <f>M36</f>
        <v>366.40269233280003</v>
      </c>
      <c r="O36" s="13" t="s">
        <v>29</v>
      </c>
      <c r="P36" s="4">
        <f>B34*0.95/16</f>
        <v>593.75</v>
      </c>
    </row>
    <row r="37" spans="1:16" x14ac:dyDescent="0.25">
      <c r="A37" t="s">
        <v>23</v>
      </c>
      <c r="B37">
        <v>3000</v>
      </c>
      <c r="C37">
        <v>1750</v>
      </c>
      <c r="D37" s="4">
        <f>SQRT(B37*4/C37/3.14159)*1000</f>
        <v>1477.395751330509</v>
      </c>
      <c r="E37">
        <v>1500</v>
      </c>
      <c r="F37" s="4">
        <v>8</v>
      </c>
      <c r="G37" s="4">
        <f>3.14159*E37*C37*F37*7.85*2/1000000</f>
        <v>1035.7822229999999</v>
      </c>
      <c r="H37" s="4">
        <f>E37*E37*1.22*1.22*F37*7.85*2/1000000</f>
        <v>420.62184000000002</v>
      </c>
      <c r="I37" s="4">
        <f t="shared" si="10"/>
        <v>207.15644459999999</v>
      </c>
      <c r="J37" s="8">
        <f>(G37+H37+I37)*E1</f>
        <v>332712.10151999997</v>
      </c>
      <c r="K37" s="4">
        <f t="shared" si="11"/>
        <v>1663.5605075999999</v>
      </c>
      <c r="L37" s="4">
        <f t="shared" ref="L37:L45" si="12">K37*0.8</f>
        <v>1330.8484060800001</v>
      </c>
      <c r="M37" s="4">
        <f t="shared" ref="M37:M45" si="13">K37+L37</f>
        <v>2994.4089136800003</v>
      </c>
      <c r="N37" s="4">
        <f t="shared" ref="N37:N45" si="14">M37</f>
        <v>2994.4089136800003</v>
      </c>
      <c r="O37" s="13" t="s">
        <v>30</v>
      </c>
      <c r="P37" s="4">
        <f>B34*0.15/16</f>
        <v>93.75</v>
      </c>
    </row>
    <row r="38" spans="1:16" x14ac:dyDescent="0.25">
      <c r="A38" t="s">
        <v>7</v>
      </c>
      <c r="B38" s="4">
        <f>3.14159*C38*E38*E38/4000000</f>
        <v>248.87283281250001</v>
      </c>
      <c r="C38">
        <v>3000</v>
      </c>
      <c r="D38" s="4"/>
      <c r="E38">
        <v>325</v>
      </c>
      <c r="F38" s="4">
        <v>6</v>
      </c>
      <c r="G38" s="4">
        <f>3.14159*E38*C38*F38*7.85/1000000</f>
        <v>144.26966677500002</v>
      </c>
      <c r="H38" s="4">
        <f>E38*E38*1.22*1.22*F38*7.85/1000000</f>
        <v>7.4046969749999993</v>
      </c>
      <c r="I38" s="4">
        <f t="shared" si="10"/>
        <v>28.853933355000006</v>
      </c>
      <c r="J38" s="8">
        <f>(G38+H38+I38)*E1</f>
        <v>36105.659421000004</v>
      </c>
      <c r="K38" s="4">
        <f t="shared" si="11"/>
        <v>180.52829710500004</v>
      </c>
      <c r="L38" s="4">
        <f t="shared" si="12"/>
        <v>144.42263768400002</v>
      </c>
      <c r="M38" s="4">
        <f t="shared" si="13"/>
        <v>324.95093478900003</v>
      </c>
      <c r="N38" s="4">
        <f t="shared" si="14"/>
        <v>324.95093478900003</v>
      </c>
      <c r="O38" s="13" t="s">
        <v>31</v>
      </c>
      <c r="P38" s="4">
        <f>B34*0.5/16</f>
        <v>312.5</v>
      </c>
    </row>
    <row r="39" spans="1:16" x14ac:dyDescent="0.25">
      <c r="A39" t="s">
        <v>24</v>
      </c>
      <c r="B39">
        <v>300</v>
      </c>
      <c r="C39">
        <v>700</v>
      </c>
      <c r="D39" s="4">
        <f>SQRT(B39*4/C39/3.14159)*1000</f>
        <v>738.69787566525451</v>
      </c>
      <c r="E39">
        <v>750</v>
      </c>
      <c r="F39" s="4">
        <v>6</v>
      </c>
      <c r="G39" s="4">
        <f>3.14159*E39*C39*F39*7.85/1000000</f>
        <v>77.683666724999995</v>
      </c>
      <c r="H39" s="4">
        <f>E39*E39*1.22*1.22*F39*7.85*2/1000000</f>
        <v>78.866595000000004</v>
      </c>
      <c r="I39" s="4">
        <f t="shared" si="10"/>
        <v>15.536733345</v>
      </c>
      <c r="J39" s="8">
        <f>(G39+H39+I39)*E1*1.5</f>
        <v>51626.098520999993</v>
      </c>
      <c r="K39" s="4">
        <f t="shared" si="11"/>
        <v>172.08699506999997</v>
      </c>
      <c r="L39" s="4">
        <f t="shared" si="12"/>
        <v>137.66959605599999</v>
      </c>
      <c r="M39" s="4">
        <f t="shared" si="13"/>
        <v>309.75659112599999</v>
      </c>
      <c r="N39" s="4">
        <f t="shared" si="14"/>
        <v>309.75659112599999</v>
      </c>
      <c r="O39" s="13" t="s">
        <v>22</v>
      </c>
      <c r="P39" s="4">
        <f>B34*0.5/16</f>
        <v>312.5</v>
      </c>
    </row>
    <row r="40" spans="1:16" x14ac:dyDescent="0.25">
      <c r="A40" t="s">
        <v>8</v>
      </c>
      <c r="B40">
        <v>1500</v>
      </c>
      <c r="C40" s="10">
        <v>1750</v>
      </c>
      <c r="D40" s="4">
        <f>SQRT(B40*4/C40/3.14159)*1000</f>
        <v>1044.6765542619971</v>
      </c>
      <c r="E40">
        <v>1000</v>
      </c>
      <c r="F40" s="4">
        <v>8</v>
      </c>
      <c r="G40" s="4">
        <f>3.14159*E40*C40*F40*7.85*2/1000000</f>
        <v>690.52148199999988</v>
      </c>
      <c r="H40" s="4">
        <f>E40*E40*1.22*1.22*F40*7.85*2/1000000</f>
        <v>186.94304</v>
      </c>
      <c r="I40" s="4">
        <f t="shared" si="10"/>
        <v>138.10429639999998</v>
      </c>
      <c r="J40" s="8">
        <f>(G40+H40+I40)*E1</f>
        <v>203113.76367999997</v>
      </c>
      <c r="K40" s="4">
        <f t="shared" si="11"/>
        <v>1015.5688183999998</v>
      </c>
      <c r="L40" s="4">
        <f t="shared" si="12"/>
        <v>812.45505471999991</v>
      </c>
      <c r="M40" s="4">
        <f t="shared" si="13"/>
        <v>1828.0238731199997</v>
      </c>
      <c r="N40" s="4">
        <f t="shared" si="14"/>
        <v>1828.0238731199997</v>
      </c>
      <c r="O40" s="13" t="s">
        <v>32</v>
      </c>
      <c r="P40" s="4">
        <f>B34*0.15/16</f>
        <v>93.75</v>
      </c>
    </row>
    <row r="41" spans="1:16" x14ac:dyDescent="0.25">
      <c r="A41" t="s">
        <v>25</v>
      </c>
      <c r="B41" s="4">
        <f>3.14159*C41*E41*E41/4000000</f>
        <v>497.74566562500002</v>
      </c>
      <c r="C41" s="10">
        <v>6000</v>
      </c>
      <c r="D41" s="4"/>
      <c r="E41">
        <v>325</v>
      </c>
      <c r="F41" s="4">
        <v>6</v>
      </c>
      <c r="G41" s="4">
        <f>3.14159*E41*C41*F41*7.85/1000000</f>
        <v>288.53933355000004</v>
      </c>
      <c r="H41" s="4">
        <f>E41*E41*1.22*1.22*F41*7.85/1000000</f>
        <v>7.4046969749999993</v>
      </c>
      <c r="I41" s="4">
        <f t="shared" si="10"/>
        <v>57.707866710000012</v>
      </c>
      <c r="J41" s="8">
        <f>(G41+H41+I41)*E1</f>
        <v>70730.379447000014</v>
      </c>
      <c r="K41" s="4">
        <f t="shared" si="11"/>
        <v>353.65189723500004</v>
      </c>
      <c r="L41" s="4">
        <f t="shared" si="12"/>
        <v>282.92151778800002</v>
      </c>
      <c r="M41" s="4">
        <f t="shared" si="13"/>
        <v>636.57341502300005</v>
      </c>
      <c r="N41" s="4">
        <f t="shared" si="14"/>
        <v>636.57341502300005</v>
      </c>
      <c r="O41" s="13" t="s">
        <v>33</v>
      </c>
      <c r="P41" s="4">
        <f>B34*0.5/16</f>
        <v>312.5</v>
      </c>
    </row>
    <row r="42" spans="1:16" x14ac:dyDescent="0.25">
      <c r="A42" t="s">
        <v>9</v>
      </c>
      <c r="B42">
        <v>750</v>
      </c>
      <c r="C42" s="10">
        <v>1200</v>
      </c>
      <c r="D42" s="4">
        <f>SQRT(B42*4/C42/3.14159)*1000</f>
        <v>892.06243482291711</v>
      </c>
      <c r="E42">
        <v>900</v>
      </c>
      <c r="F42" s="4">
        <v>6</v>
      </c>
      <c r="G42" s="4">
        <f>3.14159*E42*C42*F42*7.85/1000000</f>
        <v>159.80640012000001</v>
      </c>
      <c r="H42" s="4">
        <f>E42*E42*1.22*1.22*F42*7.85*2/1000000</f>
        <v>113.5678968</v>
      </c>
      <c r="I42" s="4">
        <f t="shared" si="10"/>
        <v>31.961280024000004</v>
      </c>
      <c r="J42" s="8">
        <f>(G42+H42+I42)*E1*2.5</f>
        <v>152667.78847200001</v>
      </c>
      <c r="K42" s="4">
        <f t="shared" si="11"/>
        <v>305.33557694400002</v>
      </c>
      <c r="L42" s="4">
        <f t="shared" si="12"/>
        <v>244.26846155520002</v>
      </c>
      <c r="M42" s="4">
        <f t="shared" si="13"/>
        <v>549.60403849919999</v>
      </c>
      <c r="N42" s="4">
        <f t="shared" si="14"/>
        <v>549.60403849919999</v>
      </c>
    </row>
    <row r="43" spans="1:16" x14ac:dyDescent="0.25">
      <c r="A43" t="s">
        <v>26</v>
      </c>
      <c r="B43">
        <v>1500</v>
      </c>
      <c r="C43" s="10">
        <v>1750</v>
      </c>
      <c r="D43" s="4">
        <f>SQRT(B43*4/C43/3.14159)*1000</f>
        <v>1044.6765542619971</v>
      </c>
      <c r="E43">
        <v>1000</v>
      </c>
      <c r="F43" s="4">
        <v>8</v>
      </c>
      <c r="G43" s="4">
        <f>3.14159*E43*C43*F43*7.85*2/1000000</f>
        <v>690.52148199999988</v>
      </c>
      <c r="H43" s="4">
        <f>E43*E43*1.22*1.22*F43*7.85*2/1000000</f>
        <v>186.94304</v>
      </c>
      <c r="I43" s="4">
        <f t="shared" si="10"/>
        <v>138.10429639999998</v>
      </c>
      <c r="J43" s="8">
        <f>(G43+H43+I43)*E1</f>
        <v>203113.76367999997</v>
      </c>
      <c r="K43" s="4">
        <f t="shared" si="11"/>
        <v>1015.5688183999998</v>
      </c>
      <c r="L43" s="4">
        <f t="shared" si="12"/>
        <v>812.45505471999991</v>
      </c>
      <c r="M43" s="4">
        <f t="shared" si="13"/>
        <v>1828.0238731199997</v>
      </c>
      <c r="N43" s="4">
        <f t="shared" si="14"/>
        <v>1828.0238731199997</v>
      </c>
    </row>
    <row r="44" spans="1:16" x14ac:dyDescent="0.25">
      <c r="A44" t="s">
        <v>27</v>
      </c>
      <c r="B44" s="4">
        <f>3.14159*C44*E44*E44/4000000</f>
        <v>497.74566562500002</v>
      </c>
      <c r="C44" s="10">
        <v>6000</v>
      </c>
      <c r="D44" s="4"/>
      <c r="E44">
        <v>325</v>
      </c>
      <c r="F44" s="4">
        <v>6</v>
      </c>
      <c r="G44" s="4">
        <f>3.14159*E44*C44*F44*7.85/1000000</f>
        <v>288.53933355000004</v>
      </c>
      <c r="H44" s="4">
        <f>E44*E44*1.22*1.22*F44*7.85/1000000</f>
        <v>7.4046969749999993</v>
      </c>
      <c r="I44" s="4">
        <f t="shared" si="10"/>
        <v>57.707866710000012</v>
      </c>
      <c r="J44" s="8">
        <f>(G44+H44+I44)*E1</f>
        <v>70730.379447000014</v>
      </c>
      <c r="K44" s="4">
        <f t="shared" si="11"/>
        <v>353.65189723500004</v>
      </c>
      <c r="L44" s="4">
        <f t="shared" si="12"/>
        <v>282.92151778800002</v>
      </c>
      <c r="M44" s="4">
        <f t="shared" si="13"/>
        <v>636.57341502300005</v>
      </c>
      <c r="N44" s="4">
        <f t="shared" si="14"/>
        <v>636.57341502300005</v>
      </c>
    </row>
    <row r="45" spans="1:16" x14ac:dyDescent="0.25">
      <c r="A45" t="s">
        <v>28</v>
      </c>
      <c r="B45">
        <v>750</v>
      </c>
      <c r="C45" s="10">
        <v>1200</v>
      </c>
      <c r="D45" s="4">
        <f>SQRT(B45*4/C45/3.14159)*1000</f>
        <v>892.06243482291711</v>
      </c>
      <c r="E45">
        <v>900</v>
      </c>
      <c r="F45" s="4">
        <v>8</v>
      </c>
      <c r="G45" s="4">
        <f>3.14159*E45*C45*F45*7.85/1000000</f>
        <v>213.07520016000001</v>
      </c>
      <c r="H45" s="4">
        <f>E45*E45*1.22*1.22*F45*7.85*2/1000000</f>
        <v>151.42386240000002</v>
      </c>
      <c r="I45" s="4">
        <f t="shared" si="10"/>
        <v>42.615040032000003</v>
      </c>
      <c r="J45" s="8">
        <f>(G45+H45+I45)*E1</f>
        <v>81422.820518400011</v>
      </c>
      <c r="K45" s="4">
        <f t="shared" si="11"/>
        <v>407.11410259200005</v>
      </c>
      <c r="L45" s="4">
        <f t="shared" si="12"/>
        <v>325.69128207360006</v>
      </c>
      <c r="M45" s="4">
        <f t="shared" si="13"/>
        <v>732.80538466560006</v>
      </c>
      <c r="N45" s="4">
        <f t="shared" si="14"/>
        <v>732.80538466560006</v>
      </c>
    </row>
    <row r="46" spans="1:16" x14ac:dyDescent="0.25">
      <c r="A46" t="s">
        <v>40</v>
      </c>
      <c r="E46" t="s">
        <v>39</v>
      </c>
      <c r="F46">
        <f>B34*80/24*5</f>
        <v>166666.66666666669</v>
      </c>
      <c r="H46" s="5"/>
      <c r="I46" s="5" t="s">
        <v>13</v>
      </c>
      <c r="J46" s="8">
        <f>SUM(J36:J45)</f>
        <v>1242934.1649656002</v>
      </c>
      <c r="K46" s="13"/>
      <c r="L46" s="4"/>
    </row>
    <row r="47" spans="1:16" x14ac:dyDescent="0.25">
      <c r="A47" t="s">
        <v>17</v>
      </c>
      <c r="E47" t="s">
        <v>19</v>
      </c>
      <c r="F47" s="4">
        <f>F46*0.2/3/60</f>
        <v>185.18518518518519</v>
      </c>
      <c r="H47" s="5"/>
      <c r="I47" s="5"/>
      <c r="J47" s="8"/>
      <c r="K47" s="13"/>
      <c r="L47" s="4"/>
    </row>
    <row r="48" spans="1:16" x14ac:dyDescent="0.25">
      <c r="C48" s="10"/>
      <c r="D48" s="4"/>
      <c r="F48" s="5"/>
      <c r="G48" s="5"/>
      <c r="H48" s="5"/>
      <c r="I48" s="5"/>
      <c r="J48" s="8"/>
      <c r="K48" s="13"/>
      <c r="L48" s="4"/>
    </row>
    <row r="49" spans="1:18" x14ac:dyDescent="0.25">
      <c r="A49" t="s">
        <v>35</v>
      </c>
      <c r="B49">
        <v>5000</v>
      </c>
      <c r="C49" t="s">
        <v>37</v>
      </c>
      <c r="D49">
        <v>1000</v>
      </c>
      <c r="E49" t="s">
        <v>36</v>
      </c>
      <c r="O49" s="43" t="s">
        <v>41</v>
      </c>
      <c r="P49">
        <v>5000</v>
      </c>
      <c r="Q49" s="1">
        <v>2000</v>
      </c>
      <c r="R49" s="1">
        <v>1000</v>
      </c>
    </row>
    <row r="50" spans="1:18" ht="60" x14ac:dyDescent="0.25">
      <c r="A50" s="14" t="s">
        <v>3</v>
      </c>
      <c r="B50" s="14" t="s">
        <v>34</v>
      </c>
      <c r="C50" s="14" t="s">
        <v>4</v>
      </c>
      <c r="D50" s="14" t="s">
        <v>5</v>
      </c>
      <c r="E50" s="14" t="s">
        <v>6</v>
      </c>
      <c r="F50" s="14" t="s">
        <v>10</v>
      </c>
      <c r="G50" s="14" t="s">
        <v>138</v>
      </c>
      <c r="H50" s="14" t="s">
        <v>12</v>
      </c>
      <c r="I50" s="14" t="s">
        <v>156</v>
      </c>
      <c r="J50" s="15" t="s">
        <v>11</v>
      </c>
      <c r="K50" s="19" t="s">
        <v>46</v>
      </c>
      <c r="L50" s="19" t="s">
        <v>48</v>
      </c>
      <c r="M50" s="19" t="s">
        <v>47</v>
      </c>
      <c r="N50" s="19" t="s">
        <v>49</v>
      </c>
      <c r="O50" s="14" t="s">
        <v>21</v>
      </c>
      <c r="P50" s="14" t="s">
        <v>38</v>
      </c>
      <c r="Q50" s="16" t="s">
        <v>38</v>
      </c>
      <c r="R50" s="16" t="s">
        <v>38</v>
      </c>
    </row>
    <row r="51" spans="1:18" x14ac:dyDescent="0.25">
      <c r="A51" s="3" t="s">
        <v>1</v>
      </c>
      <c r="B51">
        <v>375</v>
      </c>
      <c r="C51">
        <v>1200</v>
      </c>
      <c r="D51" s="4">
        <f>SQRT(B51*4/C51/3.14159)*1000</f>
        <v>630.78339690506732</v>
      </c>
      <c r="E51">
        <v>650</v>
      </c>
      <c r="F51" s="4">
        <v>4</v>
      </c>
      <c r="G51" s="4">
        <f>3.14159*E51*C51*F51*7.85/1000000</f>
        <v>76.943822280000006</v>
      </c>
      <c r="H51" s="4">
        <f>E51*E51*1.22*1.22*F51*7.85*2/1000000</f>
        <v>39.491717199999997</v>
      </c>
      <c r="I51" s="4">
        <f t="shared" ref="I51:I60" si="15">G51*0.2</f>
        <v>15.388764456000002</v>
      </c>
      <c r="J51" s="8">
        <f>(G51+H51+I51)*E1</f>
        <v>26364.860787200003</v>
      </c>
      <c r="K51" s="4">
        <f t="shared" ref="K51:K56" si="16">G51+H51+I51</f>
        <v>131.82430393600001</v>
      </c>
      <c r="L51" s="4">
        <f>K51*0.8</f>
        <v>105.45944314880001</v>
      </c>
      <c r="M51" s="4">
        <f>K51+L51</f>
        <v>237.28374708480001</v>
      </c>
      <c r="N51" s="4">
        <f>M51</f>
        <v>237.28374708480001</v>
      </c>
      <c r="O51" s="13" t="s">
        <v>29</v>
      </c>
      <c r="P51" s="4">
        <f>B49*0.95/16</f>
        <v>296.875</v>
      </c>
      <c r="Q51" s="4">
        <f>Q49*0.95/16</f>
        <v>118.75</v>
      </c>
      <c r="R51" s="4">
        <f>R49*0.95/16</f>
        <v>59.375</v>
      </c>
    </row>
    <row r="52" spans="1:18" x14ac:dyDescent="0.25">
      <c r="A52" t="s">
        <v>23</v>
      </c>
      <c r="B52">
        <v>1500</v>
      </c>
      <c r="C52">
        <v>1750</v>
      </c>
      <c r="D52" s="4">
        <f>SQRT(B52*4/C52/3.14159)*1000</f>
        <v>1044.6765542619971</v>
      </c>
      <c r="E52">
        <v>1000</v>
      </c>
      <c r="F52" s="4">
        <v>8</v>
      </c>
      <c r="G52" s="4">
        <f>3.14159*E52*C52*F52*7.85*2/1000000</f>
        <v>690.52148199999988</v>
      </c>
      <c r="H52" s="4">
        <f>E52*E52*1.22*1.22*F52*7.85*2/1000000</f>
        <v>186.94304</v>
      </c>
      <c r="I52" s="4">
        <f t="shared" si="15"/>
        <v>138.10429639999998</v>
      </c>
      <c r="J52" s="8">
        <f>(G52+H52+I52)*E1</f>
        <v>203113.76367999997</v>
      </c>
      <c r="K52" s="4">
        <f t="shared" si="16"/>
        <v>1015.5688183999998</v>
      </c>
      <c r="L52" s="4">
        <f t="shared" ref="L52:L56" si="17">K52*0.8</f>
        <v>812.45505471999991</v>
      </c>
      <c r="M52" s="4">
        <f t="shared" ref="M52:M56" si="18">K52+L52</f>
        <v>1828.0238731199997</v>
      </c>
      <c r="N52" s="4">
        <f t="shared" ref="N52:N60" si="19">M52</f>
        <v>1828.0238731199997</v>
      </c>
      <c r="O52" s="13" t="s">
        <v>30</v>
      </c>
      <c r="P52" s="4">
        <f>B49*0.15/16</f>
        <v>46.875</v>
      </c>
      <c r="Q52" s="4">
        <f>Q49*0.15/16</f>
        <v>18.75</v>
      </c>
      <c r="R52" s="4">
        <f>R49*0.15/16</f>
        <v>9.375</v>
      </c>
    </row>
    <row r="53" spans="1:18" x14ac:dyDescent="0.25">
      <c r="A53" t="s">
        <v>7</v>
      </c>
      <c r="B53" s="4">
        <f>3.14159*C53*E53*E53/4000000</f>
        <v>248.87283281250001</v>
      </c>
      <c r="C53">
        <v>3000</v>
      </c>
      <c r="D53" s="4"/>
      <c r="E53">
        <v>325</v>
      </c>
      <c r="F53" s="4">
        <v>6</v>
      </c>
      <c r="G53" s="4">
        <f>3.14159*E53*C53*F53*7.85/1000000</f>
        <v>144.26966677500002</v>
      </c>
      <c r="H53" s="4">
        <f>E53*E53*1.22*1.22*F53*7.85/1000000</f>
        <v>7.4046969749999993</v>
      </c>
      <c r="I53" s="4">
        <f t="shared" si="15"/>
        <v>28.853933355000006</v>
      </c>
      <c r="J53" s="8">
        <f>(G53+H53+I53)*E1</f>
        <v>36105.659421000004</v>
      </c>
      <c r="K53" s="4">
        <f t="shared" si="16"/>
        <v>180.52829710500004</v>
      </c>
      <c r="L53" s="4">
        <f t="shared" si="17"/>
        <v>144.42263768400002</v>
      </c>
      <c r="M53" s="4">
        <f t="shared" si="18"/>
        <v>324.95093478900003</v>
      </c>
      <c r="N53" s="4">
        <f t="shared" si="19"/>
        <v>324.95093478900003</v>
      </c>
      <c r="O53" s="13" t="s">
        <v>31</v>
      </c>
      <c r="P53" s="4">
        <f>B49*0.5/16</f>
        <v>156.25</v>
      </c>
      <c r="Q53" s="4">
        <f>Q49*0.5/16</f>
        <v>62.5</v>
      </c>
      <c r="R53" s="4">
        <f>R49*0.5/16</f>
        <v>31.25</v>
      </c>
    </row>
    <row r="54" spans="1:18" x14ac:dyDescent="0.25">
      <c r="A54" t="s">
        <v>24</v>
      </c>
      <c r="B54">
        <v>150</v>
      </c>
      <c r="C54">
        <v>700</v>
      </c>
      <c r="D54" s="4">
        <f>SQRT(B54*4/C54/3.14159)*1000</f>
        <v>522.33827713099856</v>
      </c>
      <c r="E54">
        <v>500</v>
      </c>
      <c r="F54" s="4">
        <v>6</v>
      </c>
      <c r="G54" s="4">
        <f>3.14159*E54*C54*F54*7.85/1000000</f>
        <v>51.789111149999997</v>
      </c>
      <c r="H54" s="4">
        <f>E54*E54*1.22*1.22*F54*7.85*2/1000000</f>
        <v>35.051819999999999</v>
      </c>
      <c r="I54" s="4">
        <f t="shared" si="15"/>
        <v>10.35782223</v>
      </c>
      <c r="J54" s="8">
        <f>(G54+H54+I54)*E1*1.5</f>
        <v>29159.626013999994</v>
      </c>
      <c r="K54" s="4">
        <f t="shared" si="16"/>
        <v>97.198753379999985</v>
      </c>
      <c r="L54" s="4">
        <f t="shared" si="17"/>
        <v>77.759002703999997</v>
      </c>
      <c r="M54" s="4">
        <f t="shared" si="18"/>
        <v>174.95775608399998</v>
      </c>
      <c r="N54" s="4">
        <f t="shared" si="19"/>
        <v>174.95775608399998</v>
      </c>
      <c r="O54" s="13" t="s">
        <v>22</v>
      </c>
      <c r="P54" s="4">
        <f>B49*0.5/16</f>
        <v>156.25</v>
      </c>
      <c r="Q54" s="4">
        <f>Q49*0.5/16</f>
        <v>62.5</v>
      </c>
      <c r="R54" s="4">
        <f>R49*0.5/16</f>
        <v>31.25</v>
      </c>
    </row>
    <row r="55" spans="1:18" x14ac:dyDescent="0.25">
      <c r="A55" t="s">
        <v>8</v>
      </c>
      <c r="B55">
        <v>750</v>
      </c>
      <c r="C55" s="10">
        <v>1750</v>
      </c>
      <c r="D55" s="4">
        <f>SQRT(B55*4/C55/3.14159)*1000</f>
        <v>738.69787566525451</v>
      </c>
      <c r="E55">
        <v>750</v>
      </c>
      <c r="F55" s="4">
        <v>8</v>
      </c>
      <c r="G55" s="4">
        <f>3.14159*E55*C55*F55*7.85*2/1000000</f>
        <v>517.89111149999997</v>
      </c>
      <c r="H55" s="4">
        <f>E55*E55*1.22*1.22*F55*7.85*2/1000000</f>
        <v>105.15546000000001</v>
      </c>
      <c r="I55" s="4">
        <f t="shared" si="15"/>
        <v>103.57822229999999</v>
      </c>
      <c r="J55" s="8">
        <f>(G55+H55+I55)*E1</f>
        <v>145324.95876000001</v>
      </c>
      <c r="K55" s="4">
        <f t="shared" si="16"/>
        <v>726.62479380000002</v>
      </c>
      <c r="L55" s="4">
        <f t="shared" si="17"/>
        <v>581.29983504000006</v>
      </c>
      <c r="M55" s="4">
        <f t="shared" si="18"/>
        <v>1307.92462884</v>
      </c>
      <c r="N55" s="4">
        <f t="shared" si="19"/>
        <v>1307.92462884</v>
      </c>
      <c r="O55" s="13" t="s">
        <v>32</v>
      </c>
      <c r="P55" s="4">
        <f>B49*0.15/16</f>
        <v>46.875</v>
      </c>
      <c r="Q55" s="4">
        <f>Q49*0.15/16</f>
        <v>18.75</v>
      </c>
      <c r="R55" s="4">
        <f>R49*0.15/16</f>
        <v>9.375</v>
      </c>
    </row>
    <row r="56" spans="1:18" x14ac:dyDescent="0.25">
      <c r="A56" t="s">
        <v>25</v>
      </c>
      <c r="B56" s="4">
        <f>3.14159*C56*E56*E56/4000000</f>
        <v>497.74566562500002</v>
      </c>
      <c r="C56" s="10">
        <v>6000</v>
      </c>
      <c r="D56" s="4"/>
      <c r="E56">
        <v>325</v>
      </c>
      <c r="F56" s="4">
        <v>6</v>
      </c>
      <c r="G56" s="4">
        <f>3.14159*E56*C56*F56*7.85/1000000</f>
        <v>288.53933355000004</v>
      </c>
      <c r="H56" s="4">
        <f>E56*E56*1.22*1.22*F56*7.85/1000000</f>
        <v>7.4046969749999993</v>
      </c>
      <c r="I56" s="4">
        <f t="shared" si="15"/>
        <v>57.707866710000012</v>
      </c>
      <c r="J56" s="8">
        <f>(G56+H56+I56)*E1</f>
        <v>70730.379447000014</v>
      </c>
      <c r="K56" s="4">
        <f t="shared" si="16"/>
        <v>353.65189723500004</v>
      </c>
      <c r="L56" s="4">
        <f t="shared" si="17"/>
        <v>282.92151778800002</v>
      </c>
      <c r="M56" s="4">
        <f t="shared" si="18"/>
        <v>636.57341502300005</v>
      </c>
      <c r="N56" s="4">
        <f t="shared" si="19"/>
        <v>636.57341502300005</v>
      </c>
      <c r="O56" s="13" t="s">
        <v>33</v>
      </c>
      <c r="P56" s="4">
        <f>B49*0.5/16</f>
        <v>156.25</v>
      </c>
      <c r="Q56" s="4">
        <f>Q49*0.5/16</f>
        <v>62.5</v>
      </c>
      <c r="R56" s="4">
        <f>D49*0.5/16</f>
        <v>31.25</v>
      </c>
    </row>
    <row r="57" spans="1:18" x14ac:dyDescent="0.25">
      <c r="A57" t="s">
        <v>9</v>
      </c>
      <c r="B57">
        <v>375</v>
      </c>
      <c r="C57" s="10">
        <v>1200</v>
      </c>
      <c r="D57" s="4">
        <f>SQRT(B57*4/C57/3.14159)*1000</f>
        <v>630.78339690506732</v>
      </c>
      <c r="E57">
        <v>650</v>
      </c>
      <c r="F57" s="4">
        <v>6</v>
      </c>
      <c r="G57" s="4">
        <f>3.14159*E57*C57*F57*7.85/1000000</f>
        <v>115.41573342</v>
      </c>
      <c r="H57" s="4">
        <f>E57*E57*1.22*1.22*F57*7.85*2/1000000</f>
        <v>59.237575799999995</v>
      </c>
      <c r="I57" s="4">
        <f t="shared" si="15"/>
        <v>23.083146683999999</v>
      </c>
      <c r="J57" s="8">
        <f>(G57+H57+I57)*E1*2.5</f>
        <v>98868.227951999987</v>
      </c>
      <c r="K57" s="4">
        <f t="shared" ref="K57:K60" si="20">G57+H57+I57</f>
        <v>197.73645590399997</v>
      </c>
      <c r="L57" s="4">
        <f t="shared" ref="L57:L60" si="21">K57*0.8</f>
        <v>158.18916472319998</v>
      </c>
      <c r="M57" s="4">
        <f t="shared" ref="M57:M60" si="22">K57+L57</f>
        <v>355.92562062719992</v>
      </c>
      <c r="N57" s="4">
        <f t="shared" si="19"/>
        <v>355.92562062719992</v>
      </c>
    </row>
    <row r="58" spans="1:18" x14ac:dyDescent="0.25">
      <c r="A58" t="s">
        <v>26</v>
      </c>
      <c r="B58">
        <v>750</v>
      </c>
      <c r="C58" s="10">
        <v>1750</v>
      </c>
      <c r="D58" s="4">
        <f>SQRT(B58*4/C58/3.14159)*1000</f>
        <v>738.69787566525451</v>
      </c>
      <c r="E58">
        <v>750</v>
      </c>
      <c r="F58" s="4">
        <v>8</v>
      </c>
      <c r="G58" s="4">
        <f>3.14159*E58*C58*F58*7.85*2/1000000</f>
        <v>517.89111149999997</v>
      </c>
      <c r="H58" s="4">
        <f>E58*E58*1.22*1.22*F58*7.85*2/1000000</f>
        <v>105.15546000000001</v>
      </c>
      <c r="I58" s="4">
        <f t="shared" si="15"/>
        <v>103.57822229999999</v>
      </c>
      <c r="J58" s="8">
        <f>(G58+H58+I58)*E1</f>
        <v>145324.95876000001</v>
      </c>
      <c r="K58" s="4">
        <f t="shared" si="20"/>
        <v>726.62479380000002</v>
      </c>
      <c r="L58" s="4">
        <f t="shared" si="21"/>
        <v>581.29983504000006</v>
      </c>
      <c r="M58" s="4">
        <f t="shared" si="22"/>
        <v>1307.92462884</v>
      </c>
      <c r="N58" s="4">
        <f t="shared" si="19"/>
        <v>1307.92462884</v>
      </c>
    </row>
    <row r="59" spans="1:18" x14ac:dyDescent="0.25">
      <c r="A59" t="s">
        <v>27</v>
      </c>
      <c r="B59" s="4">
        <f>3.14159*C59*E59*E59/4000000</f>
        <v>497.74566562500002</v>
      </c>
      <c r="C59" s="10">
        <v>6000</v>
      </c>
      <c r="D59" s="4"/>
      <c r="E59">
        <v>325</v>
      </c>
      <c r="F59" s="4">
        <v>6</v>
      </c>
      <c r="G59" s="4">
        <f>3.14159*E59*C59*F59*7.85/1000000</f>
        <v>288.53933355000004</v>
      </c>
      <c r="H59" s="4">
        <f>E59*E59*1.22*1.22*F59*7.85/1000000</f>
        <v>7.4046969749999993</v>
      </c>
      <c r="I59" s="4">
        <f t="shared" si="15"/>
        <v>57.707866710000012</v>
      </c>
      <c r="J59" s="8">
        <f>(G59+H59+I59)*E1</f>
        <v>70730.379447000014</v>
      </c>
      <c r="K59" s="4">
        <f t="shared" si="20"/>
        <v>353.65189723500004</v>
      </c>
      <c r="L59" s="4">
        <f t="shared" si="21"/>
        <v>282.92151778800002</v>
      </c>
      <c r="M59" s="4">
        <f t="shared" si="22"/>
        <v>636.57341502300005</v>
      </c>
      <c r="N59" s="4">
        <f t="shared" si="19"/>
        <v>636.57341502300005</v>
      </c>
    </row>
    <row r="60" spans="1:18" x14ac:dyDescent="0.25">
      <c r="A60" t="s">
        <v>28</v>
      </c>
      <c r="B60">
        <v>375</v>
      </c>
      <c r="C60" s="10">
        <v>1200</v>
      </c>
      <c r="D60" s="4">
        <f>SQRT(B60*4/C60/3.14159)*1000</f>
        <v>630.78339690506732</v>
      </c>
      <c r="E60">
        <v>650</v>
      </c>
      <c r="F60" s="4">
        <v>8</v>
      </c>
      <c r="G60" s="4">
        <f>3.14159*E60*C60*F60*7.85/1000000</f>
        <v>153.88764456000001</v>
      </c>
      <c r="H60" s="4">
        <f>E60*E60*1.22*1.22*F60*7.85*2/1000000</f>
        <v>78.983434399999993</v>
      </c>
      <c r="I60" s="4">
        <f t="shared" si="15"/>
        <v>30.777528912000005</v>
      </c>
      <c r="J60" s="8">
        <f>(G60+H60+I60)*E1</f>
        <v>52729.721574400006</v>
      </c>
      <c r="K60" s="4">
        <f t="shared" si="20"/>
        <v>263.64860787200001</v>
      </c>
      <c r="L60" s="4">
        <f t="shared" si="21"/>
        <v>210.91888629760001</v>
      </c>
      <c r="M60" s="4">
        <f t="shared" si="22"/>
        <v>474.56749416960002</v>
      </c>
      <c r="N60" s="4">
        <f t="shared" si="19"/>
        <v>474.56749416960002</v>
      </c>
    </row>
    <row r="61" spans="1:18" x14ac:dyDescent="0.25">
      <c r="A61" t="s">
        <v>40</v>
      </c>
      <c r="E61" t="s">
        <v>39</v>
      </c>
      <c r="F61">
        <f>B49*80/24*5</f>
        <v>83333.333333333343</v>
      </c>
      <c r="I61" s="5" t="s">
        <v>13</v>
      </c>
      <c r="J61" s="8">
        <f>SUM(J51:J60)</f>
        <v>878452.53584260005</v>
      </c>
    </row>
    <row r="62" spans="1:18" x14ac:dyDescent="0.25">
      <c r="A62" t="s">
        <v>17</v>
      </c>
      <c r="E62" t="s">
        <v>19</v>
      </c>
      <c r="F62" s="4">
        <f>F61*0.2/3/60</f>
        <v>92.592592592592595</v>
      </c>
    </row>
  </sheetData>
  <mergeCells count="1">
    <mergeCell ref="A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biodiesel</vt:lpstr>
      <vt:lpstr>distilation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Satish Lele</dc:creator>
  <cp:lastModifiedBy>Satish LelE</cp:lastModifiedBy>
  <dcterms:created xsi:type="dcterms:W3CDTF">2017-08-01T06:27:55Z</dcterms:created>
  <dcterms:modified xsi:type="dcterms:W3CDTF">2024-03-25T04:25:06Z</dcterms:modified>
</cp:coreProperties>
</file>