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webpage\svlele\bd\"/>
    </mc:Choice>
  </mc:AlternateContent>
  <bookViews>
    <workbookView xWindow="0" yWindow="0" windowWidth="10785" windowHeight="9375"/>
  </bookViews>
  <sheets>
    <sheet name="biodiesel" sheetId="1" r:id="rId1"/>
    <sheet name="distillation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J27" i="4"/>
  <c r="J43" i="4"/>
  <c r="J58" i="4"/>
  <c r="J54" i="4"/>
  <c r="J39" i="4"/>
  <c r="J23" i="4"/>
  <c r="J7" i="4"/>
  <c r="O22" i="1"/>
  <c r="O21" i="1"/>
  <c r="O20" i="1"/>
  <c r="O19" i="1"/>
  <c r="O18" i="1"/>
  <c r="O17" i="1"/>
  <c r="O13" i="1"/>
  <c r="O12" i="1"/>
  <c r="O11" i="1"/>
  <c r="O9" i="1"/>
  <c r="O8" i="1"/>
  <c r="O6" i="1"/>
  <c r="O49" i="1" l="1"/>
  <c r="O48" i="1"/>
  <c r="O47" i="1"/>
  <c r="O46" i="1"/>
  <c r="O45" i="1"/>
  <c r="O44" i="1"/>
  <c r="O40" i="1"/>
  <c r="O39" i="1"/>
  <c r="O38" i="1"/>
  <c r="O36" i="1"/>
  <c r="O35" i="1"/>
  <c r="O33" i="1"/>
  <c r="O76" i="1" l="1"/>
  <c r="O75" i="1"/>
  <c r="O74" i="1"/>
  <c r="O73" i="1"/>
  <c r="O72" i="1"/>
  <c r="O67" i="1"/>
  <c r="O66" i="1"/>
  <c r="O65" i="1"/>
  <c r="O62" i="1"/>
  <c r="O60" i="1"/>
  <c r="O103" i="1" l="1"/>
  <c r="O102" i="1"/>
  <c r="O101" i="1"/>
  <c r="O100" i="1"/>
  <c r="O99" i="1"/>
  <c r="O98" i="1"/>
  <c r="O94" i="1"/>
  <c r="O93" i="1"/>
  <c r="O92" i="1"/>
  <c r="O90" i="1"/>
  <c r="O87" i="1"/>
  <c r="N61" i="4" l="1"/>
  <c r="N60" i="4"/>
  <c r="N59" i="4"/>
  <c r="N58" i="4"/>
  <c r="N57" i="4"/>
  <c r="N56" i="4"/>
  <c r="N54" i="4"/>
  <c r="N53" i="4"/>
  <c r="N52" i="4"/>
  <c r="N46" i="4"/>
  <c r="N45" i="4"/>
  <c r="N44" i="4"/>
  <c r="N43" i="4"/>
  <c r="N42" i="4"/>
  <c r="N41" i="4"/>
  <c r="N39" i="4"/>
  <c r="N38" i="4"/>
  <c r="N37" i="4"/>
  <c r="N30" i="4"/>
  <c r="N29" i="4"/>
  <c r="N28" i="4"/>
  <c r="N27" i="4"/>
  <c r="N26" i="4"/>
  <c r="N25" i="4"/>
  <c r="N23" i="4"/>
  <c r="N22" i="4"/>
  <c r="N21" i="4"/>
  <c r="N14" i="4"/>
  <c r="N13" i="4"/>
  <c r="N12" i="4"/>
  <c r="N11" i="4"/>
  <c r="N10" i="4"/>
  <c r="N9" i="4"/>
  <c r="N7" i="4"/>
  <c r="N6" i="4"/>
  <c r="N5" i="4"/>
  <c r="O71" i="1" l="1"/>
  <c r="G59" i="4" l="1"/>
  <c r="G56" i="4"/>
  <c r="G53" i="4"/>
  <c r="G44" i="4"/>
  <c r="G41" i="4"/>
  <c r="G38" i="4"/>
  <c r="G28" i="4"/>
  <c r="G25" i="4"/>
  <c r="G22" i="4"/>
  <c r="G12" i="4"/>
  <c r="G9" i="4"/>
  <c r="G6" i="4"/>
  <c r="H61" i="4"/>
  <c r="G61" i="4"/>
  <c r="H60" i="4"/>
  <c r="G60" i="4"/>
  <c r="H59" i="4"/>
  <c r="H58" i="4"/>
  <c r="G58" i="4"/>
  <c r="H57" i="4"/>
  <c r="G57" i="4"/>
  <c r="H56" i="4"/>
  <c r="H54" i="4"/>
  <c r="G54" i="4"/>
  <c r="H53" i="4"/>
  <c r="H52" i="4"/>
  <c r="G52" i="4"/>
  <c r="H46" i="4"/>
  <c r="G46" i="4"/>
  <c r="H45" i="4"/>
  <c r="G45" i="4"/>
  <c r="H44" i="4"/>
  <c r="H43" i="4"/>
  <c r="G43" i="4"/>
  <c r="H42" i="4"/>
  <c r="G42" i="4"/>
  <c r="H41" i="4"/>
  <c r="H39" i="4"/>
  <c r="G39" i="4"/>
  <c r="H38" i="4"/>
  <c r="H37" i="4"/>
  <c r="G37" i="4"/>
  <c r="H30" i="4"/>
  <c r="G30" i="4"/>
  <c r="H29" i="4"/>
  <c r="G29" i="4"/>
  <c r="H28" i="4"/>
  <c r="H27" i="4"/>
  <c r="G27" i="4"/>
  <c r="H26" i="4"/>
  <c r="G26" i="4"/>
  <c r="H25" i="4"/>
  <c r="H23" i="4"/>
  <c r="G23" i="4"/>
  <c r="H22" i="4"/>
  <c r="H21" i="4"/>
  <c r="G21" i="4"/>
  <c r="H14" i="4"/>
  <c r="G14" i="4"/>
  <c r="H13" i="4"/>
  <c r="G13" i="4"/>
  <c r="H12" i="4"/>
  <c r="H11" i="4"/>
  <c r="G11" i="4"/>
  <c r="H10" i="4"/>
  <c r="G10" i="4"/>
  <c r="H9" i="4"/>
  <c r="H7" i="4"/>
  <c r="G7" i="4"/>
  <c r="H6" i="4"/>
  <c r="H5" i="4"/>
  <c r="G5" i="4"/>
  <c r="F62" i="4" l="1"/>
  <c r="F63" i="4" s="1"/>
  <c r="D61" i="4"/>
  <c r="B60" i="4"/>
  <c r="D59" i="4"/>
  <c r="D58" i="4"/>
  <c r="P57" i="4"/>
  <c r="I57" i="4"/>
  <c r="B57" i="4"/>
  <c r="P56" i="4"/>
  <c r="I56" i="4"/>
  <c r="K56" i="4" s="1"/>
  <c r="D56" i="4"/>
  <c r="P55" i="4"/>
  <c r="H55" i="4"/>
  <c r="G55" i="4"/>
  <c r="I55" i="4" s="1"/>
  <c r="D55" i="4"/>
  <c r="P54" i="4"/>
  <c r="I54" i="4"/>
  <c r="K54" i="4" s="1"/>
  <c r="B54" i="4"/>
  <c r="P53" i="4"/>
  <c r="I53" i="4"/>
  <c r="D53" i="4"/>
  <c r="P52" i="4"/>
  <c r="I52" i="4"/>
  <c r="K52" i="4" s="1"/>
  <c r="D52" i="4"/>
  <c r="F47" i="4"/>
  <c r="F48" i="4" s="1"/>
  <c r="D46" i="4"/>
  <c r="B45" i="4"/>
  <c r="D44" i="4"/>
  <c r="D43" i="4"/>
  <c r="P42" i="4"/>
  <c r="B42" i="4"/>
  <c r="P41" i="4"/>
  <c r="D41" i="4"/>
  <c r="P40" i="4"/>
  <c r="H40" i="4"/>
  <c r="G40" i="4"/>
  <c r="D40" i="4"/>
  <c r="P39" i="4"/>
  <c r="B39" i="4"/>
  <c r="P38" i="4"/>
  <c r="D38" i="4"/>
  <c r="P37" i="4"/>
  <c r="D37" i="4"/>
  <c r="F32" i="4"/>
  <c r="G33" i="4" s="1"/>
  <c r="D30" i="4"/>
  <c r="B29" i="4"/>
  <c r="D28" i="4"/>
  <c r="D27" i="4"/>
  <c r="P26" i="4"/>
  <c r="K26" i="4"/>
  <c r="I26" i="4"/>
  <c r="B26" i="4"/>
  <c r="P25" i="4"/>
  <c r="I25" i="4"/>
  <c r="K25" i="4" s="1"/>
  <c r="D25" i="4"/>
  <c r="P24" i="4"/>
  <c r="H24" i="4"/>
  <c r="G24" i="4"/>
  <c r="I24" i="4" s="1"/>
  <c r="D24" i="4"/>
  <c r="P23" i="4"/>
  <c r="I23" i="4"/>
  <c r="K23" i="4" s="1"/>
  <c r="B23" i="4"/>
  <c r="P22" i="4"/>
  <c r="K22" i="4"/>
  <c r="I22" i="4"/>
  <c r="D22" i="4"/>
  <c r="P21" i="4"/>
  <c r="I21" i="4"/>
  <c r="K21" i="4" s="1"/>
  <c r="D21" i="4"/>
  <c r="F16" i="4"/>
  <c r="G17" i="4" s="1"/>
  <c r="D14" i="4"/>
  <c r="B13" i="4"/>
  <c r="D12" i="4"/>
  <c r="D11" i="4"/>
  <c r="P10" i="4"/>
  <c r="B10" i="4"/>
  <c r="P9" i="4"/>
  <c r="D9" i="4"/>
  <c r="P8" i="4"/>
  <c r="H8" i="4"/>
  <c r="G8" i="4"/>
  <c r="D8" i="4"/>
  <c r="P7" i="4"/>
  <c r="B7" i="4"/>
  <c r="P6" i="4"/>
  <c r="D6" i="4"/>
  <c r="P5" i="4"/>
  <c r="D5" i="4"/>
  <c r="K24" i="4" l="1"/>
  <c r="L21" i="4"/>
  <c r="M21" i="4" s="1"/>
  <c r="L23" i="4"/>
  <c r="M23" i="4" s="1"/>
  <c r="L25" i="4"/>
  <c r="M25" i="4" s="1"/>
  <c r="L22" i="4"/>
  <c r="M22" i="4" s="1"/>
  <c r="L24" i="4"/>
  <c r="M24" i="4" s="1"/>
  <c r="N24" i="4" s="1"/>
  <c r="L26" i="4"/>
  <c r="M26" i="4" s="1"/>
  <c r="L52" i="4"/>
  <c r="M52" i="4" s="1"/>
  <c r="L54" i="4"/>
  <c r="M54" i="4" s="1"/>
  <c r="L56" i="4"/>
  <c r="M56" i="4" s="1"/>
  <c r="I5" i="4"/>
  <c r="K5" i="4" s="1"/>
  <c r="I6" i="4"/>
  <c r="K6" i="4" s="1"/>
  <c r="I7" i="4"/>
  <c r="K7" i="4" s="1"/>
  <c r="I8" i="4"/>
  <c r="K8" i="4" s="1"/>
  <c r="I9" i="4"/>
  <c r="K9" i="4" s="1"/>
  <c r="I10" i="4"/>
  <c r="K10" i="4" s="1"/>
  <c r="I11" i="4"/>
  <c r="J21" i="4"/>
  <c r="J25" i="4"/>
  <c r="I28" i="4"/>
  <c r="J28" i="4" s="1"/>
  <c r="I30" i="4"/>
  <c r="J30" i="4" s="1"/>
  <c r="I38" i="4"/>
  <c r="J38" i="4" s="1"/>
  <c r="J41" i="4"/>
  <c r="I41" i="4"/>
  <c r="K41" i="4" s="1"/>
  <c r="K53" i="4"/>
  <c r="J53" i="4"/>
  <c r="K57" i="4"/>
  <c r="J57" i="4"/>
  <c r="J6" i="4"/>
  <c r="J8" i="4"/>
  <c r="J10" i="4"/>
  <c r="I12" i="4"/>
  <c r="K12" i="4" s="1"/>
  <c r="J13" i="4"/>
  <c r="I13" i="4"/>
  <c r="K13" i="4" s="1"/>
  <c r="J22" i="4"/>
  <c r="J24" i="4"/>
  <c r="J26" i="4"/>
  <c r="I37" i="4"/>
  <c r="J37" i="4" s="1"/>
  <c r="I39" i="4"/>
  <c r="K39" i="4" s="1"/>
  <c r="I43" i="4"/>
  <c r="K43" i="4" s="1"/>
  <c r="K45" i="4"/>
  <c r="I45" i="4"/>
  <c r="J45" i="4" s="1"/>
  <c r="J52" i="4"/>
  <c r="K55" i="4"/>
  <c r="J55" i="4"/>
  <c r="J56" i="4"/>
  <c r="I59" i="4"/>
  <c r="K59" i="4" s="1"/>
  <c r="I61" i="4"/>
  <c r="J61" i="4" s="1"/>
  <c r="I14" i="4"/>
  <c r="J14" i="4" s="1"/>
  <c r="I27" i="4"/>
  <c r="I29" i="4"/>
  <c r="J29" i="4" s="1"/>
  <c r="I40" i="4"/>
  <c r="J40" i="4" s="1"/>
  <c r="J42" i="4"/>
  <c r="I42" i="4"/>
  <c r="K42" i="4" s="1"/>
  <c r="I44" i="4"/>
  <c r="J44" i="4" s="1"/>
  <c r="I46" i="4"/>
  <c r="J46" i="4" s="1"/>
  <c r="I58" i="4"/>
  <c r="I60" i="4"/>
  <c r="J60" i="4" s="1"/>
  <c r="J9" i="4" l="1"/>
  <c r="J5" i="4"/>
  <c r="K11" i="4"/>
  <c r="L11" i="4" s="1"/>
  <c r="M11" i="4" s="1"/>
  <c r="K28" i="4"/>
  <c r="K14" i="4"/>
  <c r="L14" i="4" s="1"/>
  <c r="M14" i="4" s="1"/>
  <c r="K44" i="4"/>
  <c r="L44" i="4" s="1"/>
  <c r="M44" i="4" s="1"/>
  <c r="K61" i="4"/>
  <c r="L61" i="4" s="1"/>
  <c r="M61" i="4" s="1"/>
  <c r="K30" i="4"/>
  <c r="L30" i="4" s="1"/>
  <c r="M30" i="4" s="1"/>
  <c r="L42" i="4"/>
  <c r="M42" i="4" s="1"/>
  <c r="L43" i="4"/>
  <c r="M43" i="4" s="1"/>
  <c r="L12" i="4"/>
  <c r="M12" i="4" s="1"/>
  <c r="L41" i="4"/>
  <c r="M41" i="4" s="1"/>
  <c r="L59" i="4"/>
  <c r="M59" i="4" s="1"/>
  <c r="L39" i="4"/>
  <c r="M39" i="4" s="1"/>
  <c r="L10" i="4"/>
  <c r="M10" i="4" s="1"/>
  <c r="L8" i="4"/>
  <c r="M8" i="4" s="1"/>
  <c r="N8" i="4" s="1"/>
  <c r="L6" i="4"/>
  <c r="M6" i="4" s="1"/>
  <c r="K40" i="4"/>
  <c r="J59" i="4"/>
  <c r="J62" i="4" s="1"/>
  <c r="L45" i="4"/>
  <c r="M45" i="4" s="1"/>
  <c r="J47" i="4"/>
  <c r="K37" i="4"/>
  <c r="L28" i="4"/>
  <c r="M28" i="4" s="1"/>
  <c r="K60" i="4"/>
  <c r="L53" i="4"/>
  <c r="M53" i="4"/>
  <c r="K38" i="4"/>
  <c r="K27" i="4"/>
  <c r="L9" i="4"/>
  <c r="M9" i="4" s="1"/>
  <c r="L7" i="4"/>
  <c r="M7" i="4" s="1"/>
  <c r="L5" i="4"/>
  <c r="M5" i="4" s="1"/>
  <c r="L55" i="4"/>
  <c r="M55" i="4" s="1"/>
  <c r="N55" i="4" s="1"/>
  <c r="L13" i="4"/>
  <c r="M13" i="4" s="1"/>
  <c r="K58" i="4"/>
  <c r="L57" i="4"/>
  <c r="M57" i="4" s="1"/>
  <c r="K46" i="4"/>
  <c r="K29" i="4"/>
  <c r="J31" i="4"/>
  <c r="J12" i="4"/>
  <c r="J15" i="4" s="1"/>
  <c r="L29" i="4" l="1"/>
  <c r="M29" i="4" s="1"/>
  <c r="L58" i="4"/>
  <c r="M58" i="4" s="1"/>
  <c r="L27" i="4"/>
  <c r="M27" i="4" s="1"/>
  <c r="L60" i="4"/>
  <c r="M60" i="4" s="1"/>
  <c r="L40" i="4"/>
  <c r="M40" i="4" s="1"/>
  <c r="N40" i="4" s="1"/>
  <c r="L46" i="4"/>
  <c r="M46" i="4" s="1"/>
  <c r="L38" i="4"/>
  <c r="M38" i="4" s="1"/>
  <c r="L37" i="4"/>
  <c r="M37" i="4" s="1"/>
  <c r="B4" i="1" l="1"/>
  <c r="Y10" i="1" s="1"/>
  <c r="Y7" i="1"/>
  <c r="U18" i="1"/>
  <c r="U16" i="1"/>
  <c r="U17" i="1" l="1"/>
  <c r="Y5" i="1"/>
  <c r="D5" i="1"/>
  <c r="U4" i="1" s="1"/>
  <c r="L5" i="1"/>
  <c r="M5" i="1"/>
  <c r="N5" i="1"/>
  <c r="D6" i="1"/>
  <c r="F6" i="1" s="1"/>
  <c r="L6" i="1"/>
  <c r="M6" i="1"/>
  <c r="N6" i="1"/>
  <c r="L7" i="1"/>
  <c r="M7" i="1"/>
  <c r="N7" i="1"/>
  <c r="D8" i="1"/>
  <c r="F8" i="1" s="1"/>
  <c r="L8" i="1"/>
  <c r="M8" i="1"/>
  <c r="N8" i="1"/>
  <c r="L9" i="1"/>
  <c r="M9" i="1"/>
  <c r="N9" i="1"/>
  <c r="D10" i="1"/>
  <c r="F10" i="1" s="1"/>
  <c r="L10" i="1"/>
  <c r="M10" i="1"/>
  <c r="N10" i="1"/>
  <c r="L11" i="1"/>
  <c r="M11" i="1"/>
  <c r="N11" i="1"/>
  <c r="D12" i="1"/>
  <c r="F12" i="1" s="1"/>
  <c r="L12" i="1"/>
  <c r="M12" i="1"/>
  <c r="N12" i="1"/>
  <c r="L13" i="1"/>
  <c r="M13" i="1"/>
  <c r="N13" i="1"/>
  <c r="F17" i="1"/>
  <c r="L17" i="1"/>
  <c r="M17" i="1"/>
  <c r="N17" i="1"/>
  <c r="Q17" i="1"/>
  <c r="F18" i="1"/>
  <c r="L18" i="1"/>
  <c r="M18" i="1"/>
  <c r="N18" i="1"/>
  <c r="Q18" i="1"/>
  <c r="F19" i="1"/>
  <c r="L19" i="1"/>
  <c r="M19" i="1"/>
  <c r="N19" i="1"/>
  <c r="Q19" i="1"/>
  <c r="F20" i="1"/>
  <c r="L20" i="1"/>
  <c r="M20" i="1"/>
  <c r="N20" i="1"/>
  <c r="Q20" i="1"/>
  <c r="F21" i="1"/>
  <c r="L21" i="1"/>
  <c r="M21" i="1"/>
  <c r="P21" i="1" s="1"/>
  <c r="R21" i="1" s="1"/>
  <c r="S21" i="1" s="1"/>
  <c r="N21" i="1"/>
  <c r="Q21" i="1"/>
  <c r="F22" i="1"/>
  <c r="L22" i="1"/>
  <c r="M22" i="1"/>
  <c r="N22" i="1"/>
  <c r="P22" i="1"/>
  <c r="Q22" i="1"/>
  <c r="R22" i="1"/>
  <c r="S22" i="1" s="1"/>
  <c r="G25" i="1"/>
  <c r="G26" i="1"/>
  <c r="P18" i="1" l="1"/>
  <c r="R18" i="1" s="1"/>
  <c r="S18" i="1" s="1"/>
  <c r="P12" i="1"/>
  <c r="P8" i="1"/>
  <c r="P10" i="1"/>
  <c r="P6" i="1"/>
  <c r="P17" i="1"/>
  <c r="R17" i="1" s="1"/>
  <c r="S17" i="1" s="1"/>
  <c r="F5" i="1"/>
  <c r="O7" i="1"/>
  <c r="O5" i="1"/>
  <c r="F24" i="1"/>
  <c r="P20" i="1"/>
  <c r="R20" i="1" s="1"/>
  <c r="S20" i="1" s="1"/>
  <c r="P19" i="1"/>
  <c r="R19" i="1" s="1"/>
  <c r="S19" i="1" s="1"/>
  <c r="P13" i="1"/>
  <c r="D13" i="1"/>
  <c r="F13" i="1" s="1"/>
  <c r="P11" i="1"/>
  <c r="D11" i="1"/>
  <c r="F11" i="1" s="1"/>
  <c r="O10" i="1"/>
  <c r="P9" i="1"/>
  <c r="D9" i="1"/>
  <c r="F9" i="1" s="1"/>
  <c r="P7" i="1"/>
  <c r="D7" i="1"/>
  <c r="F7" i="1" s="1"/>
  <c r="P5" i="1"/>
  <c r="Q13" i="1"/>
  <c r="Q12" i="1"/>
  <c r="Q10" i="1"/>
  <c r="Q8" i="1"/>
  <c r="R8" i="1" s="1"/>
  <c r="S8" i="1" s="1"/>
  <c r="Q6" i="1"/>
  <c r="R6" i="1" s="1"/>
  <c r="S6" i="1" s="1"/>
  <c r="Q5" i="1"/>
  <c r="R10" i="1" l="1"/>
  <c r="S10" i="1" s="1"/>
  <c r="R12" i="1"/>
  <c r="S12" i="1" s="1"/>
  <c r="Q9" i="1"/>
  <c r="R9" i="1" s="1"/>
  <c r="S9" i="1" s="1"/>
  <c r="O23" i="1"/>
  <c r="R5" i="1"/>
  <c r="S5" i="1" s="1"/>
  <c r="Q7" i="1"/>
  <c r="R7" i="1" s="1"/>
  <c r="S7" i="1" s="1"/>
  <c r="Q11" i="1"/>
  <c r="R11" i="1" s="1"/>
  <c r="S11" i="1" s="1"/>
  <c r="R13" i="1"/>
  <c r="S13" i="1" s="1"/>
  <c r="H24" i="1"/>
  <c r="G52" i="1" l="1"/>
  <c r="G106" i="1"/>
  <c r="L47" i="1"/>
  <c r="M43" i="1"/>
  <c r="L43" i="1"/>
  <c r="N43" i="1" s="1"/>
  <c r="G53" i="1"/>
  <c r="G80" i="1"/>
  <c r="G107" i="1"/>
  <c r="P43" i="1" l="1"/>
  <c r="R43" i="1" s="1"/>
  <c r="M70" i="1" l="1"/>
  <c r="L70" i="1"/>
  <c r="N70" i="1" s="1"/>
  <c r="F49" i="1"/>
  <c r="F48" i="1"/>
  <c r="F47" i="1"/>
  <c r="F46" i="1"/>
  <c r="F45" i="1"/>
  <c r="F44" i="1"/>
  <c r="F76" i="1"/>
  <c r="F75" i="1"/>
  <c r="F74" i="1"/>
  <c r="F73" i="1"/>
  <c r="F72" i="1"/>
  <c r="F71" i="1"/>
  <c r="L40" i="1"/>
  <c r="L39" i="1"/>
  <c r="L38" i="1"/>
  <c r="M40" i="1"/>
  <c r="M39" i="1"/>
  <c r="M67" i="1"/>
  <c r="L67" i="1"/>
  <c r="M66" i="1"/>
  <c r="L66" i="1"/>
  <c r="M94" i="1"/>
  <c r="L94" i="1"/>
  <c r="M93" i="1"/>
  <c r="L93" i="1"/>
  <c r="L49" i="1"/>
  <c r="L48" i="1"/>
  <c r="L46" i="1"/>
  <c r="L45" i="1"/>
  <c r="L44" i="1"/>
  <c r="L76" i="1"/>
  <c r="L75" i="1"/>
  <c r="L74" i="1"/>
  <c r="L73" i="1"/>
  <c r="L72" i="1"/>
  <c r="L71" i="1"/>
  <c r="L65" i="1"/>
  <c r="L103" i="1"/>
  <c r="L102" i="1"/>
  <c r="L101" i="1"/>
  <c r="L100" i="1"/>
  <c r="L99" i="1"/>
  <c r="L98" i="1"/>
  <c r="L92" i="1"/>
  <c r="F103" i="1"/>
  <c r="F102" i="1"/>
  <c r="F101" i="1"/>
  <c r="F100" i="1"/>
  <c r="F99" i="1"/>
  <c r="F98" i="1"/>
  <c r="P70" i="1" l="1"/>
  <c r="N39" i="1"/>
  <c r="N40" i="1"/>
  <c r="N66" i="1"/>
  <c r="N67" i="1"/>
  <c r="N93" i="1"/>
  <c r="N94" i="1"/>
  <c r="Y8" i="1"/>
  <c r="Y36" i="1"/>
  <c r="Y63" i="1"/>
  <c r="P67" i="1" l="1"/>
  <c r="P39" i="1"/>
  <c r="P94" i="1"/>
  <c r="P93" i="1"/>
  <c r="P40" i="1"/>
  <c r="P66" i="1"/>
  <c r="Y90" i="1"/>
  <c r="U87" i="1" l="1"/>
  <c r="Q103" i="1"/>
  <c r="M103" i="1"/>
  <c r="N103" i="1"/>
  <c r="Q102" i="1"/>
  <c r="M102" i="1"/>
  <c r="N102" i="1"/>
  <c r="Q101" i="1"/>
  <c r="M101" i="1"/>
  <c r="Q100" i="1"/>
  <c r="M100" i="1"/>
  <c r="Q99" i="1"/>
  <c r="M99" i="1"/>
  <c r="Y98" i="1"/>
  <c r="AA98" i="1" s="1"/>
  <c r="Q98" i="1"/>
  <c r="M98" i="1"/>
  <c r="M92" i="1"/>
  <c r="N92" i="1"/>
  <c r="Y91" i="1"/>
  <c r="AA91" i="1" s="1"/>
  <c r="M91" i="1"/>
  <c r="L91" i="1"/>
  <c r="AA90" i="1"/>
  <c r="Z90" i="1"/>
  <c r="M90" i="1"/>
  <c r="L90" i="1"/>
  <c r="M89" i="1"/>
  <c r="L89" i="1"/>
  <c r="Y88" i="1"/>
  <c r="AA88" i="1" s="1"/>
  <c r="M88" i="1"/>
  <c r="L88" i="1"/>
  <c r="M87" i="1"/>
  <c r="L87" i="1"/>
  <c r="Y86" i="1"/>
  <c r="AA86" i="1" s="1"/>
  <c r="M86" i="1"/>
  <c r="L86" i="1"/>
  <c r="G79" i="1"/>
  <c r="Q76" i="1"/>
  <c r="M76" i="1"/>
  <c r="Q75" i="1"/>
  <c r="M75" i="1"/>
  <c r="Q74" i="1"/>
  <c r="M74" i="1"/>
  <c r="Q73" i="1"/>
  <c r="M73" i="1"/>
  <c r="Q72" i="1"/>
  <c r="M72" i="1"/>
  <c r="Y71" i="1"/>
  <c r="AA71" i="1" s="1"/>
  <c r="Q71" i="1"/>
  <c r="M71" i="1"/>
  <c r="M65" i="1"/>
  <c r="Y64" i="1"/>
  <c r="AA64" i="1" s="1"/>
  <c r="M64" i="1"/>
  <c r="L64" i="1"/>
  <c r="Z63" i="1"/>
  <c r="AA63" i="1"/>
  <c r="M63" i="1"/>
  <c r="L63" i="1"/>
  <c r="M62" i="1"/>
  <c r="L62" i="1"/>
  <c r="Y61" i="1"/>
  <c r="AA61" i="1" s="1"/>
  <c r="M61" i="1"/>
  <c r="L61" i="1"/>
  <c r="M60" i="1"/>
  <c r="L60" i="1"/>
  <c r="Y59" i="1"/>
  <c r="AA59" i="1" s="1"/>
  <c r="M59" i="1"/>
  <c r="L59" i="1"/>
  <c r="Q49" i="1"/>
  <c r="M49" i="1"/>
  <c r="N49" i="1"/>
  <c r="Q48" i="1"/>
  <c r="M48" i="1"/>
  <c r="N48" i="1"/>
  <c r="Q47" i="1"/>
  <c r="M47" i="1"/>
  <c r="N47" i="1"/>
  <c r="Q46" i="1"/>
  <c r="M46" i="1"/>
  <c r="Q45" i="1"/>
  <c r="M45" i="1"/>
  <c r="Y44" i="1"/>
  <c r="AA44" i="1" s="1"/>
  <c r="Q44" i="1"/>
  <c r="M44" i="1"/>
  <c r="M38" i="1"/>
  <c r="Y37" i="1"/>
  <c r="AA37" i="1" s="1"/>
  <c r="M37" i="1"/>
  <c r="L37" i="1"/>
  <c r="AA36" i="1"/>
  <c r="Z36" i="1"/>
  <c r="M36" i="1"/>
  <c r="L36" i="1"/>
  <c r="M35" i="1"/>
  <c r="L35" i="1"/>
  <c r="Y34" i="1"/>
  <c r="AA34" i="1" s="1"/>
  <c r="M34" i="1"/>
  <c r="L34" i="1"/>
  <c r="M33" i="1"/>
  <c r="L33" i="1"/>
  <c r="Y32" i="1"/>
  <c r="AA32" i="1" s="1"/>
  <c r="M32" i="1"/>
  <c r="L32" i="1"/>
  <c r="Y16" i="1"/>
  <c r="AA16" i="1" s="1"/>
  <c r="Y9" i="1"/>
  <c r="Z9" i="1" s="1"/>
  <c r="AA8" i="1"/>
  <c r="Y6" i="1"/>
  <c r="AA6" i="1" s="1"/>
  <c r="Y4" i="1"/>
  <c r="AA4" i="1" s="1"/>
  <c r="AA9" i="1"/>
  <c r="Z8" i="1"/>
  <c r="Y72" i="1" l="1"/>
  <c r="AA72" i="1" s="1"/>
  <c r="U60" i="1"/>
  <c r="Y17" i="1"/>
  <c r="AA17" i="1" s="1"/>
  <c r="U5" i="1"/>
  <c r="Y45" i="1"/>
  <c r="Z45" i="1" s="1"/>
  <c r="U33" i="1"/>
  <c r="V33" i="1" s="1"/>
  <c r="N90" i="1"/>
  <c r="P92" i="1"/>
  <c r="Z4" i="1"/>
  <c r="Z61" i="1"/>
  <c r="Z44" i="1"/>
  <c r="Z59" i="1"/>
  <c r="Z64" i="1"/>
  <c r="N101" i="1"/>
  <c r="Z32" i="1"/>
  <c r="N33" i="1"/>
  <c r="P33" i="1" s="1"/>
  <c r="Z34" i="1"/>
  <c r="Z37" i="1"/>
  <c r="N44" i="1"/>
  <c r="P44" i="1" s="1"/>
  <c r="R44" i="1" s="1"/>
  <c r="N46" i="1"/>
  <c r="P46" i="1" s="1"/>
  <c r="R46" i="1" s="1"/>
  <c r="N61" i="1"/>
  <c r="O61" i="1" s="1"/>
  <c r="N63" i="1"/>
  <c r="O63" i="1" s="1"/>
  <c r="Z71" i="1"/>
  <c r="N72" i="1"/>
  <c r="N74" i="1"/>
  <c r="N75" i="1"/>
  <c r="N76" i="1"/>
  <c r="N86" i="1"/>
  <c r="O86" i="1" s="1"/>
  <c r="Z86" i="1"/>
  <c r="N88" i="1"/>
  <c r="O88" i="1" s="1"/>
  <c r="Z88" i="1"/>
  <c r="N99" i="1"/>
  <c r="Y99" i="1"/>
  <c r="N35" i="1"/>
  <c r="P35" i="1" s="1"/>
  <c r="N37" i="1"/>
  <c r="P37" i="1" s="1"/>
  <c r="N59" i="1"/>
  <c r="O59" i="1" s="1"/>
  <c r="N65" i="1"/>
  <c r="P102" i="1"/>
  <c r="R102" i="1" s="1"/>
  <c r="S102" i="1" s="1"/>
  <c r="N87" i="1"/>
  <c r="N89" i="1"/>
  <c r="O89" i="1" s="1"/>
  <c r="N91" i="1"/>
  <c r="O91" i="1" s="1"/>
  <c r="N98" i="1"/>
  <c r="N100" i="1"/>
  <c r="P100" i="1" s="1"/>
  <c r="R100" i="1" s="1"/>
  <c r="S100" i="1" s="1"/>
  <c r="P103" i="1"/>
  <c r="R103" i="1" s="1"/>
  <c r="S103" i="1" s="1"/>
  <c r="Z91" i="1"/>
  <c r="Z98" i="1"/>
  <c r="N60" i="1"/>
  <c r="P60" i="1" s="1"/>
  <c r="N62" i="1"/>
  <c r="N64" i="1"/>
  <c r="O64" i="1" s="1"/>
  <c r="N71" i="1"/>
  <c r="N73" i="1"/>
  <c r="P73" i="1" s="1"/>
  <c r="R73" i="1" s="1"/>
  <c r="S73" i="1" s="1"/>
  <c r="P47" i="1"/>
  <c r="R47" i="1" s="1"/>
  <c r="P48" i="1"/>
  <c r="R48" i="1" s="1"/>
  <c r="P49" i="1"/>
  <c r="R49" i="1" s="1"/>
  <c r="N34" i="1"/>
  <c r="O34" i="1" s="1"/>
  <c r="N36" i="1"/>
  <c r="N38" i="1"/>
  <c r="N45" i="1"/>
  <c r="P45" i="1" s="1"/>
  <c r="R45" i="1" s="1"/>
  <c r="N32" i="1"/>
  <c r="O32" i="1" s="1"/>
  <c r="Z16" i="1"/>
  <c r="Z6" i="1"/>
  <c r="Z72" i="1" l="1"/>
  <c r="O37" i="1"/>
  <c r="Z17" i="1"/>
  <c r="P90" i="1"/>
  <c r="AA45" i="1"/>
  <c r="P59" i="1"/>
  <c r="P61" i="1"/>
  <c r="W33" i="1"/>
  <c r="P74" i="1"/>
  <c r="R74" i="1" s="1"/>
  <c r="S74" i="1" s="1"/>
  <c r="P76" i="1"/>
  <c r="R76" i="1" s="1"/>
  <c r="S76" i="1" s="1"/>
  <c r="P63" i="1"/>
  <c r="P75" i="1"/>
  <c r="R75" i="1" s="1"/>
  <c r="S75" i="1" s="1"/>
  <c r="P88" i="1"/>
  <c r="P72" i="1"/>
  <c r="R72" i="1" s="1"/>
  <c r="S72" i="1" s="1"/>
  <c r="P101" i="1"/>
  <c r="R101" i="1" s="1"/>
  <c r="S101" i="1" s="1"/>
  <c r="P86" i="1"/>
  <c r="P99" i="1"/>
  <c r="R99" i="1" s="1"/>
  <c r="S99" i="1" s="1"/>
  <c r="P65" i="1"/>
  <c r="P32" i="1"/>
  <c r="P34" i="1"/>
  <c r="Z99" i="1"/>
  <c r="AA99" i="1"/>
  <c r="P36" i="1"/>
  <c r="P71" i="1"/>
  <c r="R71" i="1" s="1"/>
  <c r="S71" i="1" s="1"/>
  <c r="P62" i="1"/>
  <c r="O104" i="1"/>
  <c r="P91" i="1"/>
  <c r="P98" i="1"/>
  <c r="R98" i="1" s="1"/>
  <c r="S98" i="1" s="1"/>
  <c r="P89" i="1"/>
  <c r="P87" i="1"/>
  <c r="P64" i="1"/>
  <c r="P38" i="1"/>
  <c r="O50" i="1" l="1"/>
  <c r="O77" i="1"/>
  <c r="B84" i="1" l="1"/>
  <c r="B57" i="1"/>
  <c r="B30" i="1"/>
  <c r="F51" i="1" s="1"/>
  <c r="D87" i="1" l="1"/>
  <c r="F105" i="1"/>
  <c r="U6" i="1"/>
  <c r="D60" i="1"/>
  <c r="F78" i="1"/>
  <c r="D40" i="1"/>
  <c r="D38" i="1"/>
  <c r="Q38" i="1" s="1"/>
  <c r="D39" i="1"/>
  <c r="D66" i="1"/>
  <c r="D67" i="1"/>
  <c r="D65" i="1"/>
  <c r="Q65" i="1" s="1"/>
  <c r="D92" i="1"/>
  <c r="Q92" i="1" s="1"/>
  <c r="D94" i="1"/>
  <c r="D93" i="1"/>
  <c r="D36" i="1"/>
  <c r="D34" i="1"/>
  <c r="U35" i="1" s="1"/>
  <c r="D32" i="1"/>
  <c r="D37" i="1"/>
  <c r="D35" i="1"/>
  <c r="U34" i="1"/>
  <c r="D63" i="1"/>
  <c r="D61" i="1"/>
  <c r="U62" i="1" s="1"/>
  <c r="D59" i="1"/>
  <c r="D64" i="1"/>
  <c r="D62" i="1"/>
  <c r="D90" i="1"/>
  <c r="D88" i="1"/>
  <c r="U89" i="1" s="1"/>
  <c r="D86" i="1"/>
  <c r="D91" i="1"/>
  <c r="D89" i="1"/>
  <c r="Y60" i="1"/>
  <c r="Y62" i="1"/>
  <c r="U73" i="1"/>
  <c r="Y65" i="1"/>
  <c r="U72" i="1"/>
  <c r="U71" i="1"/>
  <c r="Y33" i="1"/>
  <c r="Y35" i="1"/>
  <c r="U45" i="1"/>
  <c r="Y38" i="1"/>
  <c r="U46" i="1"/>
  <c r="U44" i="1"/>
  <c r="Y87" i="1"/>
  <c r="Y89" i="1"/>
  <c r="U100" i="1"/>
  <c r="U99" i="1"/>
  <c r="U98" i="1"/>
  <c r="Y92" i="1"/>
  <c r="U59" i="1" l="1"/>
  <c r="H78" i="1"/>
  <c r="H51" i="1"/>
  <c r="H105" i="1"/>
  <c r="V87" i="1"/>
  <c r="W87" i="1"/>
  <c r="V5" i="1"/>
  <c r="W5" i="1"/>
  <c r="V60" i="1"/>
  <c r="W60" i="1"/>
  <c r="U88" i="1"/>
  <c r="V88" i="1" s="1"/>
  <c r="U61" i="1"/>
  <c r="W61" i="1" s="1"/>
  <c r="U91" i="1"/>
  <c r="W91" i="1" s="1"/>
  <c r="U90" i="1"/>
  <c r="V90" i="1" s="1"/>
  <c r="U92" i="1"/>
  <c r="V92" i="1" s="1"/>
  <c r="U10" i="1"/>
  <c r="V10" i="1" s="1"/>
  <c r="U9" i="1"/>
  <c r="V9" i="1" s="1"/>
  <c r="U8" i="1"/>
  <c r="W8" i="1" s="1"/>
  <c r="Q39" i="1"/>
  <c r="R39" i="1" s="1"/>
  <c r="F39" i="1"/>
  <c r="U7" i="1"/>
  <c r="W7" i="1" s="1"/>
  <c r="F66" i="1"/>
  <c r="Q66" i="1"/>
  <c r="R66" i="1" s="1"/>
  <c r="S66" i="1" s="1"/>
  <c r="Q94" i="1"/>
  <c r="R94" i="1" s="1"/>
  <c r="S94" i="1" s="1"/>
  <c r="F94" i="1"/>
  <c r="U63" i="1"/>
  <c r="W63" i="1" s="1"/>
  <c r="U65" i="1"/>
  <c r="W65" i="1" s="1"/>
  <c r="U64" i="1"/>
  <c r="W64" i="1" s="1"/>
  <c r="U38" i="1"/>
  <c r="V38" i="1" s="1"/>
  <c r="U37" i="1"/>
  <c r="W37" i="1" s="1"/>
  <c r="U36" i="1"/>
  <c r="V36" i="1" s="1"/>
  <c r="Q93" i="1"/>
  <c r="R93" i="1" s="1"/>
  <c r="S93" i="1" s="1"/>
  <c r="F93" i="1"/>
  <c r="Q67" i="1"/>
  <c r="R67" i="1" s="1"/>
  <c r="S67" i="1" s="1"/>
  <c r="F67" i="1"/>
  <c r="F40" i="1"/>
  <c r="Q40" i="1"/>
  <c r="R40" i="1" s="1"/>
  <c r="F89" i="1"/>
  <c r="Q89" i="1"/>
  <c r="R89" i="1" s="1"/>
  <c r="S89" i="1" s="1"/>
  <c r="F86" i="1"/>
  <c r="U86" i="1"/>
  <c r="Q86" i="1"/>
  <c r="R86" i="1" s="1"/>
  <c r="S86" i="1" s="1"/>
  <c r="F90" i="1"/>
  <c r="Q90" i="1"/>
  <c r="R90" i="1" s="1"/>
  <c r="S90" i="1" s="1"/>
  <c r="F60" i="1"/>
  <c r="Q60" i="1"/>
  <c r="R60" i="1" s="1"/>
  <c r="S60" i="1" s="1"/>
  <c r="F64" i="1"/>
  <c r="Q64" i="1"/>
  <c r="R64" i="1" s="1"/>
  <c r="S64" i="1" s="1"/>
  <c r="F59" i="1"/>
  <c r="Q59" i="1"/>
  <c r="R59" i="1" s="1"/>
  <c r="S59" i="1" s="1"/>
  <c r="F63" i="1"/>
  <c r="Q63" i="1"/>
  <c r="R63" i="1" s="1"/>
  <c r="S63" i="1" s="1"/>
  <c r="F33" i="1"/>
  <c r="Q33" i="1"/>
  <c r="R33" i="1" s="1"/>
  <c r="S33" i="1" s="1"/>
  <c r="F37" i="1"/>
  <c r="Q37" i="1"/>
  <c r="R37" i="1" s="1"/>
  <c r="F32" i="1"/>
  <c r="U32" i="1"/>
  <c r="Q32" i="1"/>
  <c r="R32" i="1" s="1"/>
  <c r="F36" i="1"/>
  <c r="Q36" i="1"/>
  <c r="R36" i="1" s="1"/>
  <c r="F87" i="1"/>
  <c r="Q87" i="1"/>
  <c r="R87" i="1" s="1"/>
  <c r="S87" i="1" s="1"/>
  <c r="F91" i="1"/>
  <c r="Q91" i="1"/>
  <c r="R91" i="1" s="1"/>
  <c r="S91" i="1" s="1"/>
  <c r="F88" i="1"/>
  <c r="Q88" i="1"/>
  <c r="R88" i="1" s="1"/>
  <c r="S88" i="1" s="1"/>
  <c r="F92" i="1"/>
  <c r="R92" i="1"/>
  <c r="S92" i="1" s="1"/>
  <c r="F62" i="1"/>
  <c r="Q62" i="1"/>
  <c r="R62" i="1" s="1"/>
  <c r="S62" i="1" s="1"/>
  <c r="R65" i="1"/>
  <c r="S65" i="1" s="1"/>
  <c r="F65" i="1"/>
  <c r="F61" i="1"/>
  <c r="Q61" i="1"/>
  <c r="R61" i="1" s="1"/>
  <c r="S61" i="1" s="1"/>
  <c r="F35" i="1"/>
  <c r="Q35" i="1"/>
  <c r="R35" i="1" s="1"/>
  <c r="S35" i="1" s="1"/>
  <c r="F38" i="1"/>
  <c r="R38" i="1"/>
  <c r="F34" i="1"/>
  <c r="Q34" i="1"/>
  <c r="R34" i="1" s="1"/>
  <c r="V98" i="1"/>
  <c r="W98" i="1"/>
  <c r="W90" i="1"/>
  <c r="Z92" i="1"/>
  <c r="AA92" i="1"/>
  <c r="V99" i="1"/>
  <c r="W99" i="1"/>
  <c r="V89" i="1"/>
  <c r="W89" i="1"/>
  <c r="AA89" i="1"/>
  <c r="Z89" i="1"/>
  <c r="W34" i="1"/>
  <c r="V34" i="1"/>
  <c r="V46" i="1"/>
  <c r="W46" i="1"/>
  <c r="W45" i="1"/>
  <c r="V45" i="1"/>
  <c r="AA33" i="1"/>
  <c r="Z33" i="1"/>
  <c r="V72" i="1"/>
  <c r="W72" i="1"/>
  <c r="AA65" i="1"/>
  <c r="Z65" i="1"/>
  <c r="AA62" i="1"/>
  <c r="Z62" i="1"/>
  <c r="W6" i="1"/>
  <c r="V6" i="1"/>
  <c r="W18" i="1"/>
  <c r="V18" i="1"/>
  <c r="W17" i="1"/>
  <c r="V17" i="1"/>
  <c r="AA10" i="1"/>
  <c r="Z10" i="1"/>
  <c r="AA7" i="1"/>
  <c r="Z7" i="1"/>
  <c r="V100" i="1"/>
  <c r="W100" i="1"/>
  <c r="AA87" i="1"/>
  <c r="Z87" i="1"/>
  <c r="V44" i="1"/>
  <c r="W44" i="1"/>
  <c r="V35" i="1"/>
  <c r="W35" i="1"/>
  <c r="AA38" i="1"/>
  <c r="Z38" i="1"/>
  <c r="AA35" i="1"/>
  <c r="Z35" i="1"/>
  <c r="V71" i="1"/>
  <c r="W71" i="1"/>
  <c r="V62" i="1"/>
  <c r="W62" i="1"/>
  <c r="V73" i="1"/>
  <c r="W73" i="1"/>
  <c r="AA60" i="1"/>
  <c r="Z60" i="1"/>
  <c r="V16" i="1"/>
  <c r="W16" i="1"/>
  <c r="AA5" i="1"/>
  <c r="Z5" i="1"/>
  <c r="W88" i="1" l="1"/>
  <c r="V61" i="1"/>
  <c r="V7" i="1"/>
  <c r="V65" i="1"/>
  <c r="V63" i="1"/>
  <c r="V8" i="1"/>
  <c r="V37" i="1"/>
  <c r="W10" i="1"/>
  <c r="V91" i="1"/>
  <c r="W36" i="1"/>
  <c r="V64" i="1"/>
  <c r="W9" i="1"/>
  <c r="W38" i="1"/>
  <c r="W92" i="1"/>
  <c r="V4" i="1"/>
  <c r="W4" i="1"/>
  <c r="W32" i="1"/>
  <c r="V32" i="1"/>
  <c r="V59" i="1"/>
  <c r="W59" i="1"/>
  <c r="W86" i="1"/>
  <c r="V86" i="1"/>
</calcChain>
</file>

<file path=xl/sharedStrings.xml><?xml version="1.0" encoding="utf-8"?>
<sst xmlns="http://schemas.openxmlformats.org/spreadsheetml/2006/main" count="505" uniqueCount="116">
  <si>
    <t>Capacity TPD</t>
  </si>
  <si>
    <t>Flow Rate M3/ hr</t>
  </si>
  <si>
    <t>VE-01</t>
  </si>
  <si>
    <t>Vessel Volume Cu M</t>
  </si>
  <si>
    <t>Length mm</t>
  </si>
  <si>
    <t>Diameter mm</t>
  </si>
  <si>
    <t>Diameter rounded mm</t>
  </si>
  <si>
    <t>VE-04</t>
  </si>
  <si>
    <t>VE-08</t>
  </si>
  <si>
    <t>VE-12</t>
  </si>
  <si>
    <t>Plate Thickness mm</t>
  </si>
  <si>
    <t>Shell Weight</t>
  </si>
  <si>
    <t>Nozzles Weight</t>
  </si>
  <si>
    <t>Vessel Price</t>
  </si>
  <si>
    <t>Top/Bot or Dishes Weight</t>
  </si>
  <si>
    <t>Total</t>
  </si>
  <si>
    <t>Continuous Plants</t>
  </si>
  <si>
    <t>Cooling Tower</t>
  </si>
  <si>
    <t>Bolier</t>
  </si>
  <si>
    <t>Kg/Hr</t>
  </si>
  <si>
    <t>LPM</t>
  </si>
  <si>
    <t>Fabrication Cost Rs./Kg for MS</t>
  </si>
  <si>
    <t>Pump Number</t>
  </si>
  <si>
    <t>P-13</t>
  </si>
  <si>
    <t>VE-02</t>
  </si>
  <si>
    <t>VE-06</t>
  </si>
  <si>
    <t>VE-10</t>
  </si>
  <si>
    <t>VE-14</t>
  </si>
  <si>
    <t>VE-15</t>
  </si>
  <si>
    <t>VE-18</t>
  </si>
  <si>
    <t>P-03</t>
  </si>
  <si>
    <t>P-07</t>
  </si>
  <si>
    <t>P-09</t>
  </si>
  <si>
    <t>P-17</t>
  </si>
  <si>
    <t>P-19</t>
  </si>
  <si>
    <t>Vessel Volume Liters</t>
  </si>
  <si>
    <t>Capacity</t>
  </si>
  <si>
    <t>Lit/day</t>
  </si>
  <si>
    <t>Pump Capacity Lit/hr</t>
  </si>
  <si>
    <t>KCAL/Hr</t>
  </si>
  <si>
    <t>Hot Oil Unit</t>
  </si>
  <si>
    <t>Pump</t>
  </si>
  <si>
    <t>Suction Dia</t>
  </si>
  <si>
    <t>Discharge Dia</t>
  </si>
  <si>
    <t>pt-19</t>
  </si>
  <si>
    <t>pt-28</t>
  </si>
  <si>
    <t>Pumps</t>
  </si>
  <si>
    <t>Weight of Vessel Kg</t>
  </si>
  <si>
    <t>Total Load of Vessel Kg</t>
  </si>
  <si>
    <t>Wt of Contents Kgs</t>
  </si>
  <si>
    <t>Total Dynamic Load Kg</t>
  </si>
  <si>
    <t>p-03</t>
  </si>
  <si>
    <t>VE-07</t>
  </si>
  <si>
    <t>VE-09</t>
  </si>
  <si>
    <t>VE-13</t>
  </si>
  <si>
    <t>VE-24</t>
  </si>
  <si>
    <t>VE-27</t>
  </si>
  <si>
    <t>OT-01/02/06/07</t>
  </si>
  <si>
    <t>BT-11/12</t>
  </si>
  <si>
    <t>GT-14/15</t>
  </si>
  <si>
    <t>MT-20/22/23</t>
  </si>
  <si>
    <t>WT-27</t>
  </si>
  <si>
    <t>FT-18</t>
  </si>
  <si>
    <t>p-06</t>
  </si>
  <si>
    <t>p-08</t>
  </si>
  <si>
    <t>p-10</t>
  </si>
  <si>
    <t>p-15</t>
  </si>
  <si>
    <t>p-17</t>
  </si>
  <si>
    <t>p-19</t>
  </si>
  <si>
    <t>p-26</t>
  </si>
  <si>
    <t>p-29</t>
  </si>
  <si>
    <t>p-30</t>
  </si>
  <si>
    <t>pt-03/08</t>
  </si>
  <si>
    <t>pt-04/05/09/10</t>
  </si>
  <si>
    <t>pt-13</t>
  </si>
  <si>
    <t>pt-17</t>
  </si>
  <si>
    <t>pt-21/25/26</t>
  </si>
  <si>
    <t>pt-24</t>
  </si>
  <si>
    <t>Flow LPM</t>
  </si>
  <si>
    <t>pt-16</t>
  </si>
  <si>
    <t>Methanol Recovery</t>
  </si>
  <si>
    <t>Feed Stock Tank</t>
  </si>
  <si>
    <t>Catalyst Reactor</t>
  </si>
  <si>
    <t>BioDiesel Reactor</t>
  </si>
  <si>
    <t>BioDiesel Purification</t>
  </si>
  <si>
    <t>Glycerine Purification</t>
  </si>
  <si>
    <t>OT-01/02</t>
  </si>
  <si>
    <t>Oil Stg Tank</t>
  </si>
  <si>
    <t>Biod Stg Tank</t>
  </si>
  <si>
    <t>Glyc Stg Tank</t>
  </si>
  <si>
    <t>Meth Stg Tank</t>
  </si>
  <si>
    <t>Wat Stg Tank</t>
  </si>
  <si>
    <t>Fuel Stg Tank</t>
  </si>
  <si>
    <t>Continuous</t>
  </si>
  <si>
    <t>Settling Tank</t>
  </si>
  <si>
    <t>Rounded Diameter mm</t>
  </si>
  <si>
    <t>RoundedDiameter mm</t>
  </si>
  <si>
    <t>Condensers</t>
  </si>
  <si>
    <t>Washing Columns</t>
  </si>
  <si>
    <t>C-02/25/28</t>
  </si>
  <si>
    <t>C-14</t>
  </si>
  <si>
    <t>Condenser</t>
  </si>
  <si>
    <t>VE-21</t>
  </si>
  <si>
    <t>VE-22</t>
  </si>
  <si>
    <t>VE-23</t>
  </si>
  <si>
    <t>WC-18</t>
  </si>
  <si>
    <t>125 NB</t>
  </si>
  <si>
    <t>125NB</t>
  </si>
  <si>
    <t>LDO Lit/day</t>
  </si>
  <si>
    <t>Fabrication Cost Rs./Kg for SS316L</t>
  </si>
  <si>
    <t>Fabrication Cost Rs./Kg for Stg Tanks</t>
  </si>
  <si>
    <t>Flow Rate M3 / hr</t>
  </si>
  <si>
    <t>Capacity Tpd</t>
  </si>
  <si>
    <t>Shell / Jacket Weight</t>
  </si>
  <si>
    <t>Vessel No.</t>
  </si>
  <si>
    <t>Nozzles / Legs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</si>
</sst>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Rs-420]* #,##0.00_-;_-[$Rs-420]* #,##0.00\-;_-[$Rs-420]* &quot;-&quot;??_-;_-@_-"/>
    <numFmt numFmtId="165" formatCode="_-[$Rs-420]* #,##0_-;_-[$Rs-420]* #,##0\-;_-[$Rs-420]* &quot;-&quot;??_-;_-@_-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0"/>
  <sheetViews>
    <sheetView tabSelected="1" zoomScaleNormal="100" workbookViewId="0"/>
  </sheetViews>
  <sheetFormatPr defaultRowHeight="15" x14ac:dyDescent="0.25"/>
  <cols>
    <col min="1" max="1" width="12.85546875" customWidth="1"/>
    <col min="2" max="2" width="10.28515625" customWidth="1"/>
    <col min="3" max="3" width="16.7109375" customWidth="1"/>
    <col min="4" max="4" width="10.28515625" customWidth="1"/>
    <col min="5" max="5" width="10.5703125" customWidth="1"/>
    <col min="6" max="6" width="10.85546875" customWidth="1"/>
    <col min="7" max="7" width="9.5703125" customWidth="1"/>
    <col min="8" max="8" width="8.85546875" customWidth="1"/>
    <col min="9" max="9" width="5.28515625" customWidth="1"/>
    <col min="10" max="10" width="5.42578125" customWidth="1"/>
    <col min="11" max="11" width="5" customWidth="1"/>
    <col min="12" max="12" width="10.42578125" customWidth="1"/>
    <col min="13" max="13" width="10.7109375" customWidth="1"/>
    <col min="14" max="14" width="9.28515625" customWidth="1"/>
    <col min="15" max="15" width="14.85546875" customWidth="1"/>
    <col min="16" max="16" width="12.140625" customWidth="1"/>
    <col min="17" max="17" width="8.7109375" customWidth="1"/>
    <col min="18" max="18" width="11.28515625" customWidth="1"/>
    <col min="19" max="19" width="11" customWidth="1"/>
    <col min="20" max="20" width="14.140625" customWidth="1"/>
    <col min="21" max="21" width="8.28515625" customWidth="1"/>
    <col min="22" max="22" width="10" customWidth="1"/>
    <col min="23" max="23" width="9.5703125" customWidth="1"/>
    <col min="24" max="24" width="14.7109375" customWidth="1"/>
    <col min="26" max="26" width="10.140625" customWidth="1"/>
    <col min="27" max="27" width="11.7109375" customWidth="1"/>
    <col min="30" max="30" width="12.7109375" customWidth="1"/>
  </cols>
  <sheetData>
    <row r="1" spans="1:27" ht="60" x14ac:dyDescent="0.25">
      <c r="A1" s="2"/>
      <c r="C1" t="s">
        <v>16</v>
      </c>
      <c r="D1" s="25" t="s">
        <v>109</v>
      </c>
      <c r="E1" s="25" t="s">
        <v>21</v>
      </c>
      <c r="F1" s="25" t="s">
        <v>110</v>
      </c>
      <c r="T1" s="29" t="s">
        <v>46</v>
      </c>
      <c r="U1" s="29"/>
      <c r="V1" s="29"/>
      <c r="W1" s="29"/>
      <c r="X1" s="29"/>
      <c r="Y1" s="29"/>
      <c r="Z1" s="29"/>
      <c r="AA1" s="29"/>
    </row>
    <row r="2" spans="1:27" x14ac:dyDescent="0.25">
      <c r="A2" s="26"/>
      <c r="B2" s="26"/>
      <c r="D2">
        <v>500</v>
      </c>
      <c r="E2">
        <v>200</v>
      </c>
      <c r="F2">
        <v>100</v>
      </c>
      <c r="T2" s="29"/>
      <c r="U2" s="29"/>
      <c r="V2" s="29"/>
      <c r="W2" s="29"/>
      <c r="X2" s="29"/>
      <c r="Y2" s="29"/>
      <c r="Z2" s="29"/>
      <c r="AA2" s="29"/>
    </row>
    <row r="3" spans="1:27" ht="65.25" customHeight="1" x14ac:dyDescent="0.25">
      <c r="A3" s="27" t="s">
        <v>112</v>
      </c>
      <c r="B3" s="25" t="s">
        <v>111</v>
      </c>
      <c r="O3" s="7"/>
      <c r="P3" s="7"/>
      <c r="Q3" s="7"/>
      <c r="R3" s="7"/>
      <c r="S3" s="7"/>
      <c r="T3" s="13" t="s">
        <v>41</v>
      </c>
      <c r="U3" s="13" t="s">
        <v>78</v>
      </c>
      <c r="V3" s="13" t="s">
        <v>42</v>
      </c>
      <c r="W3" s="13" t="s">
        <v>43</v>
      </c>
      <c r="X3" s="13" t="s">
        <v>41</v>
      </c>
      <c r="Y3" s="13" t="s">
        <v>78</v>
      </c>
      <c r="Z3" s="13" t="s">
        <v>42</v>
      </c>
      <c r="AA3" s="13" t="s">
        <v>43</v>
      </c>
    </row>
    <row r="4" spans="1:27" ht="45" x14ac:dyDescent="0.25">
      <c r="A4">
        <v>100</v>
      </c>
      <c r="B4">
        <f>A4/20</f>
        <v>5</v>
      </c>
      <c r="C4" s="26"/>
      <c r="D4" s="26" t="s">
        <v>3</v>
      </c>
      <c r="E4" s="26" t="s">
        <v>4</v>
      </c>
      <c r="F4" s="26" t="s">
        <v>5</v>
      </c>
      <c r="G4" s="26" t="s">
        <v>95</v>
      </c>
      <c r="H4" s="26" t="s">
        <v>10</v>
      </c>
      <c r="I4" s="26"/>
      <c r="J4" s="26"/>
      <c r="K4" s="26"/>
      <c r="L4" s="26" t="s">
        <v>11</v>
      </c>
      <c r="M4" s="26" t="s">
        <v>14</v>
      </c>
      <c r="N4" s="26" t="s">
        <v>12</v>
      </c>
      <c r="O4" s="6" t="s">
        <v>13</v>
      </c>
      <c r="P4" s="26" t="s">
        <v>47</v>
      </c>
      <c r="Q4" s="26" t="s">
        <v>49</v>
      </c>
      <c r="R4" s="26" t="s">
        <v>48</v>
      </c>
      <c r="S4" s="26" t="s">
        <v>50</v>
      </c>
      <c r="T4" s="14" t="s">
        <v>51</v>
      </c>
      <c r="U4" s="14">
        <f>D5/20*1000</f>
        <v>75</v>
      </c>
      <c r="V4" s="5">
        <f>SQRT(U4*4*1000/60/3.14)</f>
        <v>39.904344223381109</v>
      </c>
      <c r="W4" s="5">
        <f>SQRT(U4*4*1000/3/60/3.14)</f>
        <v>23.038783879204569</v>
      </c>
      <c r="X4" s="14" t="s">
        <v>72</v>
      </c>
      <c r="Y4" s="21">
        <f>10000/60</f>
        <v>166.66666666666666</v>
      </c>
      <c r="Z4" s="5">
        <f>SQRT(Y4*4*1000/60/3.14)</f>
        <v>59.485884187354138</v>
      </c>
      <c r="AA4" s="5">
        <f>SQRT(Y4*4*1000/3/60/3.14)</f>
        <v>34.344191248551816</v>
      </c>
    </row>
    <row r="5" spans="1:27" x14ac:dyDescent="0.25">
      <c r="A5" s="3" t="s">
        <v>52</v>
      </c>
      <c r="B5" t="s">
        <v>80</v>
      </c>
      <c r="D5">
        <f>B4*0.3</f>
        <v>1.5</v>
      </c>
      <c r="E5">
        <v>1500</v>
      </c>
      <c r="F5" s="4">
        <f>SQRT(D5*4*1000/E5/3.14159)*1000</f>
        <v>1128.379643646369</v>
      </c>
      <c r="G5" s="4">
        <v>1150</v>
      </c>
      <c r="H5" s="4">
        <v>6</v>
      </c>
      <c r="I5" s="4"/>
      <c r="J5" s="4"/>
      <c r="L5" s="5">
        <f>3.14159*G5*E5*H5*7.85/1000000</f>
        <v>255.24633352499998</v>
      </c>
      <c r="M5" s="5">
        <f>G5*G5*1.22*1.22*H5*7.85*2/1000000</f>
        <v>185.42412779999998</v>
      </c>
      <c r="N5" s="5">
        <f t="shared" ref="N5:N13" si="0">(K5+L5)*0.05</f>
        <v>12.76231667625</v>
      </c>
      <c r="O5" s="7">
        <f>SUM(L5, M5,N5)*E2</f>
        <v>90686.555600249994</v>
      </c>
      <c r="P5" s="5">
        <f t="shared" ref="P5:P13" si="1">L5+M5+N5</f>
        <v>453.43277800124997</v>
      </c>
      <c r="Q5">
        <f t="shared" ref="Q5:Q10" si="2">D5*800</f>
        <v>1200</v>
      </c>
      <c r="R5" s="17">
        <f t="shared" ref="R5:R13" si="3">P5+Q5</f>
        <v>1653.43277800125</v>
      </c>
      <c r="S5" s="17">
        <f>R5</f>
        <v>1653.43277800125</v>
      </c>
      <c r="T5" s="14" t="s">
        <v>63</v>
      </c>
      <c r="U5" s="24">
        <f>G24</f>
        <v>10000</v>
      </c>
      <c r="V5" s="5">
        <f>SQRT(U5*4*1000/60/3.14)</f>
        <v>460.7756775840914</v>
      </c>
      <c r="W5" s="5">
        <f>SQRT(U5*4*1000/3/60/3.14)</f>
        <v>266.0289614892074</v>
      </c>
      <c r="X5" s="14" t="s">
        <v>73</v>
      </c>
      <c r="Y5" s="21">
        <f>B4*1000*1.1/60</f>
        <v>91.666666666666671</v>
      </c>
      <c r="Z5" s="5">
        <f t="shared" ref="Z5:Z17" si="4">SQRT(Y5*4*1000/60/3.14)</f>
        <v>44.115912431380359</v>
      </c>
      <c r="AA5" s="5">
        <f t="shared" ref="AA5:AA17" si="5">SQRT(Y5*4*1000/3/60/3.14)</f>
        <v>25.470333917803408</v>
      </c>
    </row>
    <row r="6" spans="1:27" x14ac:dyDescent="0.25">
      <c r="A6" t="s">
        <v>53</v>
      </c>
      <c r="B6" t="s">
        <v>81</v>
      </c>
      <c r="D6">
        <f>B4*1.2*3</f>
        <v>18</v>
      </c>
      <c r="E6">
        <v>2400</v>
      </c>
      <c r="F6" s="4">
        <f t="shared" ref="F6:F10" si="6">SQRT(D6*4*1000/E6/3.14159)*1000</f>
        <v>3090.194921273785</v>
      </c>
      <c r="G6" s="4">
        <v>3000</v>
      </c>
      <c r="H6" s="4">
        <v>6</v>
      </c>
      <c r="I6" s="4"/>
      <c r="J6" s="4"/>
      <c r="L6" s="5">
        <f>3.14159*G6*E6*H6*8.15/1000000</f>
        <v>1106.0910072000001</v>
      </c>
      <c r="M6" s="5">
        <f>G6*G6*1.22*1.22*H6*8.15*2/1000000</f>
        <v>1310.08968</v>
      </c>
      <c r="N6" s="5">
        <f t="shared" si="0"/>
        <v>55.304550360000007</v>
      </c>
      <c r="O6" s="7">
        <f>SUM(L6, M6,N6)*E2*3*1.4</f>
        <v>2076047.5995504004</v>
      </c>
      <c r="P6" s="5">
        <f t="shared" si="1"/>
        <v>2471.4852375600003</v>
      </c>
      <c r="Q6">
        <f t="shared" si="2"/>
        <v>14400</v>
      </c>
      <c r="R6" s="17">
        <f t="shared" si="3"/>
        <v>16871.485237560002</v>
      </c>
      <c r="S6" s="17">
        <f t="shared" ref="S6:S8" si="7">R6*1.2</f>
        <v>20245.782285072</v>
      </c>
      <c r="T6" s="14" t="s">
        <v>64</v>
      </c>
      <c r="U6" s="14">
        <f>D5*1000/60/4</f>
        <v>6.25</v>
      </c>
      <c r="V6" s="5">
        <f>SQRT(U6*4*1000/60/3.14)</f>
        <v>11.519391939602285</v>
      </c>
      <c r="W6" s="5">
        <f t="shared" ref="W6:W18" si="8">SQRT(U6*4*1000/3/60/3.14)</f>
        <v>6.6507240372301846</v>
      </c>
      <c r="X6" s="14" t="s">
        <v>74</v>
      </c>
      <c r="Y6" s="21">
        <f>10000/60</f>
        <v>166.66666666666666</v>
      </c>
      <c r="Z6" s="5">
        <f t="shared" si="4"/>
        <v>59.485884187354138</v>
      </c>
      <c r="AA6" s="5">
        <f t="shared" si="5"/>
        <v>34.344191248551816</v>
      </c>
    </row>
    <row r="7" spans="1:27" x14ac:dyDescent="0.25">
      <c r="A7" t="s">
        <v>54</v>
      </c>
      <c r="B7" t="s">
        <v>82</v>
      </c>
      <c r="D7">
        <f>B4*0.3</f>
        <v>1.5</v>
      </c>
      <c r="E7">
        <v>1200</v>
      </c>
      <c r="F7" s="4">
        <f t="shared" si="6"/>
        <v>1261.5667938101346</v>
      </c>
      <c r="G7" s="4">
        <v>1250</v>
      </c>
      <c r="H7" s="4">
        <v>5</v>
      </c>
      <c r="I7" s="4"/>
      <c r="J7" s="4"/>
      <c r="L7" s="5">
        <f>3.14159*G7*E7*H7*8.15/1000000</f>
        <v>192.02968874999999</v>
      </c>
      <c r="M7" s="5">
        <f>G7*G7*1.22*1.22*H7*8.15*2/1000000</f>
        <v>189.53843749999999</v>
      </c>
      <c r="N7" s="5">
        <f t="shared" si="0"/>
        <v>9.6014844374999999</v>
      </c>
      <c r="O7" s="7">
        <f>SUM(L7, M7,N7)*D2*2</f>
        <v>391169.61068749998</v>
      </c>
      <c r="P7" s="5">
        <f t="shared" si="1"/>
        <v>391.16961068749998</v>
      </c>
      <c r="Q7">
        <f t="shared" si="2"/>
        <v>1200</v>
      </c>
      <c r="R7" s="17">
        <f t="shared" si="3"/>
        <v>1591.1696106874999</v>
      </c>
      <c r="S7" s="17">
        <f t="shared" si="7"/>
        <v>1909.4035328249997</v>
      </c>
      <c r="T7" s="14" t="s">
        <v>65</v>
      </c>
      <c r="U7" s="14">
        <f>D6*1000/60</f>
        <v>300</v>
      </c>
      <c r="V7" s="5">
        <f>SQRT(U7*4*1000/60/3.14)</f>
        <v>79.808688446762218</v>
      </c>
      <c r="W7" s="5">
        <f t="shared" si="8"/>
        <v>46.077567758409138</v>
      </c>
      <c r="X7" s="14" t="s">
        <v>79</v>
      </c>
      <c r="Y7" s="21">
        <f>B4*1000*1.1/60</f>
        <v>91.666666666666671</v>
      </c>
      <c r="Z7" s="5">
        <f t="shared" si="4"/>
        <v>44.115912431380359</v>
      </c>
      <c r="AA7" s="5">
        <f t="shared" si="5"/>
        <v>25.470333917803408</v>
      </c>
    </row>
    <row r="8" spans="1:27" x14ac:dyDescent="0.25">
      <c r="A8" t="s">
        <v>55</v>
      </c>
      <c r="B8" t="s">
        <v>83</v>
      </c>
      <c r="D8">
        <f>B4*4</f>
        <v>20</v>
      </c>
      <c r="E8">
        <v>2400</v>
      </c>
      <c r="F8" s="4">
        <f t="shared" si="6"/>
        <v>3257.3514550366253</v>
      </c>
      <c r="G8" s="4">
        <v>3200</v>
      </c>
      <c r="H8" s="4">
        <v>6</v>
      </c>
      <c r="I8" s="4"/>
      <c r="J8" s="4"/>
      <c r="L8" s="5">
        <f>3.14159*G8*E8*H8*8.15/1000000</f>
        <v>1179.83040768</v>
      </c>
      <c r="M8" s="5">
        <f>G8*G8*1.22*1.22*H8*8.15*2/1000000</f>
        <v>1490.5909248</v>
      </c>
      <c r="N8" s="5">
        <f t="shared" si="0"/>
        <v>58.991520384000005</v>
      </c>
      <c r="O8" s="7">
        <f>SUM(L8, M8,N8)*D2*1.2</f>
        <v>1637647.7117184002</v>
      </c>
      <c r="P8" s="5">
        <f t="shared" si="1"/>
        <v>2729.4128528640003</v>
      </c>
      <c r="Q8">
        <f t="shared" si="2"/>
        <v>16000</v>
      </c>
      <c r="R8" s="17">
        <f t="shared" si="3"/>
        <v>18729.412852863999</v>
      </c>
      <c r="S8" s="17">
        <f t="shared" si="7"/>
        <v>22475.295423436797</v>
      </c>
      <c r="T8" s="14" t="s">
        <v>66</v>
      </c>
      <c r="U8" s="21">
        <f>D7*1000/60/4</f>
        <v>6.25</v>
      </c>
      <c r="V8" s="5">
        <f t="shared" ref="V8:V18" si="9">SQRT(U8*4*1000/60/3.14)</f>
        <v>11.519391939602285</v>
      </c>
      <c r="W8" s="5">
        <f t="shared" si="8"/>
        <v>6.6507240372301846</v>
      </c>
      <c r="X8" s="14" t="s">
        <v>75</v>
      </c>
      <c r="Y8" s="21">
        <f>10000/60</f>
        <v>166.66666666666666</v>
      </c>
      <c r="Z8" s="5">
        <f t="shared" si="4"/>
        <v>59.485884187354138</v>
      </c>
      <c r="AA8" s="5">
        <f t="shared" si="5"/>
        <v>34.344191248551816</v>
      </c>
    </row>
    <row r="9" spans="1:27" x14ac:dyDescent="0.25">
      <c r="A9" t="s">
        <v>56</v>
      </c>
      <c r="B9" t="s">
        <v>84</v>
      </c>
      <c r="D9">
        <f>B4</f>
        <v>5</v>
      </c>
      <c r="E9">
        <v>1500</v>
      </c>
      <c r="F9" s="4">
        <f t="shared" si="6"/>
        <v>2060.1299475158567</v>
      </c>
      <c r="G9" s="4">
        <v>2000</v>
      </c>
      <c r="H9" s="4">
        <v>6</v>
      </c>
      <c r="I9" s="4"/>
      <c r="J9" s="4"/>
      <c r="L9" s="5">
        <f>3.14159*G9*E9*H9*7.85/1000000</f>
        <v>443.90666700000003</v>
      </c>
      <c r="M9" s="5">
        <f>G9*G9*1.22*1.22*H9*7.85*2/1000000</f>
        <v>560.82911999999999</v>
      </c>
      <c r="N9" s="5">
        <f t="shared" si="0"/>
        <v>22.195333350000002</v>
      </c>
      <c r="O9" s="7">
        <f>(L9+M9+N9)*E2*1.4</f>
        <v>287540.71369800001</v>
      </c>
      <c r="P9" s="5">
        <f t="shared" si="1"/>
        <v>1026.9311203500001</v>
      </c>
      <c r="Q9">
        <f t="shared" si="2"/>
        <v>4000</v>
      </c>
      <c r="R9" s="17">
        <f t="shared" si="3"/>
        <v>5026.9311203500001</v>
      </c>
      <c r="S9" s="17">
        <f>R9</f>
        <v>5026.9311203500001</v>
      </c>
      <c r="T9" s="16" t="s">
        <v>67</v>
      </c>
      <c r="U9" s="21">
        <f>D7*1000/60/15</f>
        <v>1.6666666666666667</v>
      </c>
      <c r="V9" s="5">
        <f t="shared" si="9"/>
        <v>5.9485884187354134</v>
      </c>
      <c r="W9" s="5">
        <f t="shared" si="8"/>
        <v>3.4344191248551814</v>
      </c>
      <c r="X9" s="16" t="s">
        <v>44</v>
      </c>
      <c r="Y9" s="21">
        <f>10000/60</f>
        <v>166.66666666666666</v>
      </c>
      <c r="Z9" s="5">
        <f t="shared" si="4"/>
        <v>59.485884187354138</v>
      </c>
      <c r="AA9" s="5">
        <f t="shared" si="5"/>
        <v>34.344191248551816</v>
      </c>
    </row>
    <row r="10" spans="1:27" x14ac:dyDescent="0.25">
      <c r="A10" t="s">
        <v>102</v>
      </c>
      <c r="B10" t="s">
        <v>85</v>
      </c>
      <c r="D10">
        <f>B4*0.2</f>
        <v>1</v>
      </c>
      <c r="E10">
        <v>1500</v>
      </c>
      <c r="F10" s="4">
        <f t="shared" si="6"/>
        <v>921.31812102570598</v>
      </c>
      <c r="G10" s="4">
        <v>1000</v>
      </c>
      <c r="H10" s="4">
        <v>6</v>
      </c>
      <c r="I10" s="4"/>
      <c r="J10" s="4"/>
      <c r="L10" s="5">
        <f>3.14159*G10*E10*H10*7.85/1000000</f>
        <v>221.95333350000001</v>
      </c>
      <c r="M10" s="5">
        <f>G10*G10*1.22*1.22*H10*7.85*2/1000000</f>
        <v>140.20728</v>
      </c>
      <c r="N10" s="5">
        <f t="shared" si="0"/>
        <v>11.097666675000001</v>
      </c>
      <c r="O10" s="7">
        <f>(L10+M10+N10)*E2</f>
        <v>74651.656035000007</v>
      </c>
      <c r="P10" s="5">
        <f t="shared" si="1"/>
        <v>373.25828017500004</v>
      </c>
      <c r="Q10">
        <f t="shared" si="2"/>
        <v>800</v>
      </c>
      <c r="R10" s="17">
        <f t="shared" si="3"/>
        <v>1173.258280175</v>
      </c>
      <c r="S10" s="17">
        <f>R10</f>
        <v>1173.258280175</v>
      </c>
      <c r="T10" s="14" t="s">
        <v>68</v>
      </c>
      <c r="U10" s="21">
        <f>D7*1000/60/4</f>
        <v>6.25</v>
      </c>
      <c r="V10" s="5">
        <f t="shared" si="9"/>
        <v>11.519391939602285</v>
      </c>
      <c r="W10" s="5">
        <f t="shared" si="8"/>
        <v>6.6507240372301846</v>
      </c>
      <c r="X10" s="14" t="s">
        <v>76</v>
      </c>
      <c r="Y10" s="21">
        <f>B4*1000/5/60</f>
        <v>16.666666666666668</v>
      </c>
      <c r="Z10" s="5">
        <f t="shared" si="4"/>
        <v>18.811088266103344</v>
      </c>
      <c r="AA10" s="5">
        <f t="shared" si="5"/>
        <v>10.860586874184577</v>
      </c>
    </row>
    <row r="11" spans="1:27" x14ac:dyDescent="0.25">
      <c r="A11" t="s">
        <v>103</v>
      </c>
      <c r="B11" t="s">
        <v>94</v>
      </c>
      <c r="D11">
        <f>B4*5.5</f>
        <v>27.5</v>
      </c>
      <c r="E11">
        <v>4800</v>
      </c>
      <c r="F11" s="4">
        <f>SQRT(D11*4*1000/E11/3/3.14159)*1000</f>
        <v>1559.3382912708078</v>
      </c>
      <c r="G11" s="4">
        <v>1600</v>
      </c>
      <c r="H11" s="4">
        <v>10</v>
      </c>
      <c r="I11" s="4">
        <v>8</v>
      </c>
      <c r="J11" s="4">
        <v>6</v>
      </c>
      <c r="L11" s="5">
        <f t="shared" ref="L11:L13" si="10">3.14159*G11*E11*(H11+I11+J11)*7.85/3000000</f>
        <v>1515.2014233599996</v>
      </c>
      <c r="M11" s="5">
        <f>G11*G11*1.22*1.22*H11*7.85*2/1000000</f>
        <v>598.21772799999997</v>
      </c>
      <c r="N11" s="5">
        <f t="shared" si="0"/>
        <v>75.760071167999982</v>
      </c>
      <c r="O11" s="7">
        <f>(L11+M11+N11)*E2*1.25</f>
        <v>547294.80563199986</v>
      </c>
      <c r="P11" s="5">
        <f t="shared" si="1"/>
        <v>2189.1792225279996</v>
      </c>
      <c r="Q11" s="4">
        <f>D11*800</f>
        <v>22000</v>
      </c>
      <c r="R11" s="17">
        <f t="shared" si="3"/>
        <v>24189.179222528001</v>
      </c>
      <c r="S11" s="17">
        <f t="shared" ref="S11:S13" si="11">R11</f>
        <v>24189.179222528001</v>
      </c>
      <c r="T11" s="22"/>
      <c r="U11" s="22"/>
      <c r="V11" s="5"/>
      <c r="W11" s="5"/>
      <c r="X11" s="22"/>
      <c r="Y11" s="22"/>
      <c r="Z11" s="5"/>
      <c r="AA11" s="5"/>
    </row>
    <row r="12" spans="1:27" x14ac:dyDescent="0.25">
      <c r="A12" t="s">
        <v>104</v>
      </c>
      <c r="B12" t="s">
        <v>94</v>
      </c>
      <c r="D12">
        <f>B4*5</f>
        <v>25</v>
      </c>
      <c r="E12">
        <v>4600</v>
      </c>
      <c r="F12" s="4">
        <f t="shared" ref="F12:F13" si="12">SQRT(D12*4*1000/E12/3/3.14159)*1000</f>
        <v>1518.7479469751174</v>
      </c>
      <c r="G12" s="4">
        <v>1600</v>
      </c>
      <c r="H12" s="4">
        <v>10</v>
      </c>
      <c r="I12" s="4">
        <v>8</v>
      </c>
      <c r="J12" s="4">
        <v>6</v>
      </c>
      <c r="L12" s="5">
        <f t="shared" si="10"/>
        <v>1452.0680307199996</v>
      </c>
      <c r="M12" s="5">
        <f t="shared" ref="M12:M13" si="13">G12*G12*1.22*1.22*H12*7.85*2/1000000</f>
        <v>598.21772799999997</v>
      </c>
      <c r="N12" s="5">
        <f t="shared" si="0"/>
        <v>72.603401535999978</v>
      </c>
      <c r="O12" s="7">
        <f>(L12+M12+N12)*E2*1.25</f>
        <v>530722.29006399994</v>
      </c>
      <c r="P12" s="5">
        <f t="shared" si="1"/>
        <v>2122.8891602559997</v>
      </c>
      <c r="Q12" s="4">
        <f>D12*800</f>
        <v>20000</v>
      </c>
      <c r="R12" s="17">
        <f t="shared" si="3"/>
        <v>22122.889160256</v>
      </c>
      <c r="S12" s="17">
        <f t="shared" si="11"/>
        <v>22122.889160256</v>
      </c>
      <c r="T12" s="22"/>
      <c r="U12" s="22"/>
      <c r="V12" s="5"/>
      <c r="W12" s="5"/>
      <c r="X12" s="22"/>
      <c r="Y12" s="22"/>
      <c r="Z12" s="5"/>
      <c r="AA12" s="5"/>
    </row>
    <row r="13" spans="1:27" x14ac:dyDescent="0.25">
      <c r="A13" t="s">
        <v>99</v>
      </c>
      <c r="B13" t="s">
        <v>94</v>
      </c>
      <c r="D13">
        <f>B4*4.5</f>
        <v>22.5</v>
      </c>
      <c r="E13">
        <v>4400</v>
      </c>
      <c r="F13" s="4">
        <f t="shared" si="12"/>
        <v>1473.1926254556413</v>
      </c>
      <c r="G13" s="4">
        <v>1600</v>
      </c>
      <c r="H13" s="4">
        <v>10</v>
      </c>
      <c r="I13" s="4">
        <v>8</v>
      </c>
      <c r="J13" s="4">
        <v>6</v>
      </c>
      <c r="L13" s="5">
        <f t="shared" si="10"/>
        <v>1388.93463808</v>
      </c>
      <c r="M13" s="5">
        <f t="shared" si="13"/>
        <v>598.21772799999997</v>
      </c>
      <c r="N13" s="5">
        <f t="shared" si="0"/>
        <v>69.446731904000004</v>
      </c>
      <c r="O13" s="7">
        <f>(L13+M13+N13)*E2*1.25</f>
        <v>514149.77449599997</v>
      </c>
      <c r="P13" s="5">
        <f t="shared" si="1"/>
        <v>2056.5990979839999</v>
      </c>
      <c r="Q13">
        <f>D13*800</f>
        <v>18000</v>
      </c>
      <c r="R13" s="17">
        <f t="shared" si="3"/>
        <v>20056.599097983999</v>
      </c>
      <c r="S13" s="17">
        <f t="shared" si="11"/>
        <v>20056.599097983999</v>
      </c>
      <c r="T13" s="19"/>
      <c r="U13" s="19"/>
      <c r="V13" s="5"/>
      <c r="W13" s="5"/>
      <c r="X13" s="19"/>
      <c r="Y13" s="19"/>
      <c r="Z13" s="5"/>
      <c r="AA13" s="5"/>
    </row>
    <row r="14" spans="1:27" x14ac:dyDescent="0.25">
      <c r="A14" t="s">
        <v>100</v>
      </c>
      <c r="B14" t="s">
        <v>97</v>
      </c>
      <c r="E14">
        <v>3000</v>
      </c>
      <c r="F14" s="4"/>
      <c r="G14" s="17" t="s">
        <v>107</v>
      </c>
      <c r="H14" s="4"/>
      <c r="I14" s="4"/>
      <c r="J14" s="4"/>
      <c r="L14" s="5"/>
      <c r="M14" s="5"/>
      <c r="N14" s="5"/>
      <c r="O14" s="7">
        <v>500000</v>
      </c>
      <c r="P14" s="5"/>
      <c r="R14" s="17"/>
      <c r="S14" s="17">
        <v>300</v>
      </c>
      <c r="T14" s="19"/>
      <c r="U14" s="19"/>
      <c r="V14" s="5"/>
      <c r="W14" s="5"/>
      <c r="X14" s="19"/>
      <c r="Y14" s="19"/>
      <c r="Z14" s="5"/>
      <c r="AA14" s="5"/>
    </row>
    <row r="15" spans="1:27" x14ac:dyDescent="0.25">
      <c r="B15" t="s">
        <v>101</v>
      </c>
      <c r="E15">
        <v>4500</v>
      </c>
      <c r="F15" s="4"/>
      <c r="G15" s="17" t="s">
        <v>106</v>
      </c>
      <c r="H15" s="4"/>
      <c r="I15" s="4"/>
      <c r="J15" s="4"/>
      <c r="L15" s="5"/>
      <c r="M15" s="5"/>
      <c r="N15" s="5"/>
      <c r="O15" s="7">
        <v>75000</v>
      </c>
      <c r="P15" s="5"/>
      <c r="R15" s="17"/>
      <c r="S15" s="17">
        <v>400</v>
      </c>
      <c r="T15" s="19"/>
      <c r="U15" s="19"/>
      <c r="V15" s="5"/>
      <c r="W15" s="5"/>
      <c r="X15" s="19"/>
      <c r="Y15" s="19"/>
      <c r="Z15" s="5"/>
      <c r="AA15" s="5"/>
    </row>
    <row r="16" spans="1:27" x14ac:dyDescent="0.25">
      <c r="A16" t="s">
        <v>105</v>
      </c>
      <c r="B16" t="s">
        <v>98</v>
      </c>
      <c r="E16">
        <v>4800</v>
      </c>
      <c r="F16" s="4"/>
      <c r="G16" s="4">
        <v>1200</v>
      </c>
      <c r="H16" s="4"/>
      <c r="I16" s="4"/>
      <c r="J16" s="4"/>
      <c r="L16" s="5"/>
      <c r="M16" s="5"/>
      <c r="N16" s="5"/>
      <c r="O16" s="7">
        <v>75000</v>
      </c>
      <c r="P16" s="5"/>
      <c r="R16" s="17"/>
      <c r="S16" s="17">
        <v>1500</v>
      </c>
      <c r="T16" s="14" t="s">
        <v>69</v>
      </c>
      <c r="U16" s="21">
        <f>B4*1000/60</f>
        <v>83.333333333333329</v>
      </c>
      <c r="V16" s="5">
        <f t="shared" si="9"/>
        <v>42.062872093755729</v>
      </c>
      <c r="W16" s="5">
        <f t="shared" si="8"/>
        <v>24.28501052621867</v>
      </c>
      <c r="X16" s="14" t="s">
        <v>77</v>
      </c>
      <c r="Y16" s="21">
        <f>10000/60</f>
        <v>166.66666666666666</v>
      </c>
      <c r="Z16" s="5">
        <f t="shared" si="4"/>
        <v>59.485884187354138</v>
      </c>
      <c r="AA16" s="5">
        <f t="shared" si="5"/>
        <v>34.344191248551816</v>
      </c>
    </row>
    <row r="17" spans="1:31" x14ac:dyDescent="0.25">
      <c r="A17" t="s">
        <v>57</v>
      </c>
      <c r="B17" t="s">
        <v>87</v>
      </c>
      <c r="D17">
        <v>100</v>
      </c>
      <c r="E17">
        <v>4500</v>
      </c>
      <c r="F17" s="4">
        <f t="shared" ref="F17:F22" si="14">SQRT(D17*4*1000/E17/3.14159)*1000</f>
        <v>5319.2326518347154</v>
      </c>
      <c r="G17" s="4">
        <v>5500</v>
      </c>
      <c r="H17" s="4">
        <v>10</v>
      </c>
      <c r="I17" s="4">
        <v>8</v>
      </c>
      <c r="J17" s="4">
        <v>6</v>
      </c>
      <c r="K17" s="5"/>
      <c r="L17" s="5">
        <f t="shared" ref="L17:L22" si="15">3.14159*G17*E17*(H17+I17+J17)*7.85/3000000</f>
        <v>4882.9733370000004</v>
      </c>
      <c r="M17" s="5">
        <f t="shared" ref="M17:M22" si="16">G17*G17*1.22*1.22*H17*7.85*2/1000000</f>
        <v>7068.7837</v>
      </c>
      <c r="N17" s="5">
        <f t="shared" ref="N17:N22" si="17">(K17+L17)*0.05</f>
        <v>244.14866685000004</v>
      </c>
      <c r="O17" s="7">
        <f>SUM(L17, M17,N17)*F2*4*2</f>
        <v>9756724.5630799998</v>
      </c>
      <c r="P17" s="5">
        <f t="shared" ref="P17:P22" si="18">L17+M17+N17</f>
        <v>12195.90570385</v>
      </c>
      <c r="Q17">
        <f t="shared" ref="Q17:Q22" si="19">D17*800</f>
        <v>80000</v>
      </c>
      <c r="R17" s="17">
        <f t="shared" ref="R17:R22" si="20">P17+Q17</f>
        <v>92195.905703850003</v>
      </c>
      <c r="S17" s="17">
        <f t="shared" ref="S17:S22" si="21">R17</f>
        <v>92195.905703850003</v>
      </c>
      <c r="T17" s="14" t="s">
        <v>70</v>
      </c>
      <c r="U17" s="21">
        <f>B4*1000/60/4</f>
        <v>20.833333333333332</v>
      </c>
      <c r="V17" s="5">
        <f t="shared" si="9"/>
        <v>21.031436046877864</v>
      </c>
      <c r="W17" s="5">
        <f t="shared" si="8"/>
        <v>12.142505263109335</v>
      </c>
      <c r="X17" s="14" t="s">
        <v>45</v>
      </c>
      <c r="Y17" s="21" t="e">
        <f>(#REF!/60)+ (G24*0.1)</f>
        <v>#REF!</v>
      </c>
      <c r="Z17" s="5" t="e">
        <f t="shared" si="4"/>
        <v>#REF!</v>
      </c>
      <c r="AA17" s="5" t="e">
        <f t="shared" si="5"/>
        <v>#REF!</v>
      </c>
    </row>
    <row r="18" spans="1:31" x14ac:dyDescent="0.25">
      <c r="A18" t="s">
        <v>58</v>
      </c>
      <c r="B18" t="s">
        <v>88</v>
      </c>
      <c r="D18">
        <v>100</v>
      </c>
      <c r="E18">
        <v>4500</v>
      </c>
      <c r="F18" s="4">
        <f t="shared" si="14"/>
        <v>5319.2326518347154</v>
      </c>
      <c r="G18" s="4">
        <v>5500</v>
      </c>
      <c r="H18" s="4">
        <v>10</v>
      </c>
      <c r="I18" s="4">
        <v>8</v>
      </c>
      <c r="J18" s="4">
        <v>6</v>
      </c>
      <c r="K18" s="5"/>
      <c r="L18" s="5">
        <f t="shared" si="15"/>
        <v>4882.9733370000004</v>
      </c>
      <c r="M18" s="5">
        <f t="shared" si="16"/>
        <v>7068.7837</v>
      </c>
      <c r="N18" s="5">
        <f t="shared" si="17"/>
        <v>244.14866685000004</v>
      </c>
      <c r="O18" s="7">
        <f>SUM(L18, M18,N18)*F2*2*2</f>
        <v>4878362.2815399999</v>
      </c>
      <c r="P18" s="5">
        <f t="shared" si="18"/>
        <v>12195.90570385</v>
      </c>
      <c r="Q18">
        <f t="shared" si="19"/>
        <v>80000</v>
      </c>
      <c r="R18" s="17">
        <f t="shared" si="20"/>
        <v>92195.905703850003</v>
      </c>
      <c r="S18" s="17">
        <f t="shared" si="21"/>
        <v>92195.905703850003</v>
      </c>
      <c r="T18" s="14" t="s">
        <v>71</v>
      </c>
      <c r="U18" s="21">
        <f>B4*1000/60</f>
        <v>83.333333333333329</v>
      </c>
      <c r="V18" s="5">
        <f t="shared" si="9"/>
        <v>42.062872093755729</v>
      </c>
      <c r="W18" s="5">
        <f t="shared" si="8"/>
        <v>24.28501052621867</v>
      </c>
      <c r="X18" s="14"/>
      <c r="Y18" s="14"/>
      <c r="Z18" s="5"/>
      <c r="AA18" s="5"/>
    </row>
    <row r="19" spans="1:31" x14ac:dyDescent="0.25">
      <c r="A19" t="s">
        <v>59</v>
      </c>
      <c r="B19" t="s">
        <v>89</v>
      </c>
      <c r="D19">
        <v>20</v>
      </c>
      <c r="E19">
        <v>3600</v>
      </c>
      <c r="F19" s="4">
        <f t="shared" si="14"/>
        <v>2659.6163259173577</v>
      </c>
      <c r="G19" s="4">
        <v>2500</v>
      </c>
      <c r="H19" s="4">
        <v>8</v>
      </c>
      <c r="I19" s="4">
        <v>6</v>
      </c>
      <c r="J19" s="4">
        <v>5</v>
      </c>
      <c r="K19" s="5"/>
      <c r="L19" s="5">
        <f t="shared" si="15"/>
        <v>1405.7044454999998</v>
      </c>
      <c r="M19" s="5">
        <f t="shared" si="16"/>
        <v>1168.394</v>
      </c>
      <c r="N19" s="5">
        <f t="shared" si="17"/>
        <v>70.285222274999995</v>
      </c>
      <c r="O19" s="7">
        <f>SUM(L19, M19,N19)*F2*2*2</f>
        <v>1057753.4671099999</v>
      </c>
      <c r="P19" s="5">
        <f t="shared" si="18"/>
        <v>2644.3836677749996</v>
      </c>
      <c r="Q19">
        <f t="shared" si="19"/>
        <v>16000</v>
      </c>
      <c r="R19" s="17">
        <f t="shared" si="20"/>
        <v>18644.383667775001</v>
      </c>
      <c r="S19" s="17">
        <f t="shared" si="21"/>
        <v>18644.383667775001</v>
      </c>
      <c r="T19" s="14"/>
      <c r="U19" s="14"/>
      <c r="V19" s="5"/>
      <c r="W19" s="5"/>
      <c r="X19" s="14"/>
      <c r="Y19" s="14"/>
      <c r="Z19" s="5"/>
      <c r="AA19" s="5"/>
    </row>
    <row r="20" spans="1:31" x14ac:dyDescent="0.25">
      <c r="A20" t="s">
        <v>60</v>
      </c>
      <c r="B20" t="s">
        <v>90</v>
      </c>
      <c r="D20">
        <v>20</v>
      </c>
      <c r="E20">
        <v>3600</v>
      </c>
      <c r="F20" s="4">
        <f t="shared" si="14"/>
        <v>2659.6163259173577</v>
      </c>
      <c r="G20" s="4">
        <v>2500</v>
      </c>
      <c r="H20" s="4">
        <v>6</v>
      </c>
      <c r="I20" s="4"/>
      <c r="J20" s="4"/>
      <c r="K20" s="5"/>
      <c r="L20" s="5">
        <f t="shared" si="15"/>
        <v>443.90666699999991</v>
      </c>
      <c r="M20" s="5">
        <f t="shared" si="16"/>
        <v>876.29549999999995</v>
      </c>
      <c r="N20" s="5">
        <f t="shared" si="17"/>
        <v>22.195333349999999</v>
      </c>
      <c r="O20" s="7">
        <f>SUM(L20, M20,N20)*F2*3*2</f>
        <v>805438.50020999997</v>
      </c>
      <c r="P20" s="5">
        <f t="shared" si="18"/>
        <v>1342.39750035</v>
      </c>
      <c r="Q20">
        <f t="shared" si="19"/>
        <v>16000</v>
      </c>
      <c r="R20" s="17">
        <f t="shared" si="20"/>
        <v>17342.397500350002</v>
      </c>
      <c r="S20" s="17">
        <f t="shared" si="21"/>
        <v>17342.397500350002</v>
      </c>
      <c r="T20" s="14"/>
      <c r="U20" s="14"/>
      <c r="V20" s="5"/>
      <c r="W20" s="5"/>
      <c r="X20" s="14"/>
      <c r="Y20" s="14"/>
      <c r="Z20" s="5"/>
      <c r="AA20" s="5"/>
    </row>
    <row r="21" spans="1:31" x14ac:dyDescent="0.25">
      <c r="A21" t="s">
        <v>61</v>
      </c>
      <c r="B21" t="s">
        <v>91</v>
      </c>
      <c r="D21">
        <v>20</v>
      </c>
      <c r="E21">
        <v>3600</v>
      </c>
      <c r="F21" s="4">
        <f t="shared" si="14"/>
        <v>2659.6163259173577</v>
      </c>
      <c r="G21" s="4">
        <v>2500</v>
      </c>
      <c r="H21" s="4">
        <v>8</v>
      </c>
      <c r="I21" s="4">
        <v>6</v>
      </c>
      <c r="J21" s="4">
        <v>5</v>
      </c>
      <c r="K21" s="5"/>
      <c r="L21" s="5">
        <f t="shared" si="15"/>
        <v>1405.7044454999998</v>
      </c>
      <c r="M21" s="5">
        <f t="shared" si="16"/>
        <v>1168.394</v>
      </c>
      <c r="N21" s="5">
        <f t="shared" si="17"/>
        <v>70.285222274999995</v>
      </c>
      <c r="O21" s="7">
        <f>SUM(L21, M21,N21)*F2*2</f>
        <v>528876.73355499993</v>
      </c>
      <c r="P21" s="5">
        <f t="shared" si="18"/>
        <v>2644.3836677749996</v>
      </c>
      <c r="Q21">
        <f t="shared" si="19"/>
        <v>16000</v>
      </c>
      <c r="R21" s="17">
        <f t="shared" si="20"/>
        <v>18644.383667775001</v>
      </c>
      <c r="S21" s="17">
        <f t="shared" si="21"/>
        <v>18644.383667775001</v>
      </c>
      <c r="T21" s="14"/>
      <c r="U21" s="14"/>
      <c r="V21" s="5"/>
      <c r="W21" s="5"/>
    </row>
    <row r="22" spans="1:31" x14ac:dyDescent="0.25">
      <c r="A22" t="s">
        <v>62</v>
      </c>
      <c r="B22" t="s">
        <v>92</v>
      </c>
      <c r="D22">
        <v>20</v>
      </c>
      <c r="E22">
        <v>3600</v>
      </c>
      <c r="F22" s="4">
        <f t="shared" si="14"/>
        <v>2659.6163259173577</v>
      </c>
      <c r="G22" s="4">
        <v>2500</v>
      </c>
      <c r="H22" s="4">
        <v>8</v>
      </c>
      <c r="I22" s="4">
        <v>6</v>
      </c>
      <c r="J22" s="4">
        <v>5</v>
      </c>
      <c r="K22" s="5"/>
      <c r="L22" s="5">
        <f t="shared" si="15"/>
        <v>1405.7044454999998</v>
      </c>
      <c r="M22" s="5">
        <f t="shared" si="16"/>
        <v>1168.394</v>
      </c>
      <c r="N22" s="5">
        <f t="shared" si="17"/>
        <v>70.285222274999995</v>
      </c>
      <c r="O22" s="7">
        <f>SUM(L22, M22,N22)*F2*2</f>
        <v>528876.73355499993</v>
      </c>
      <c r="P22" s="5">
        <f t="shared" si="18"/>
        <v>2644.3836677749996</v>
      </c>
      <c r="Q22">
        <f t="shared" si="19"/>
        <v>16000</v>
      </c>
      <c r="R22" s="17">
        <f t="shared" si="20"/>
        <v>18644.383667775001</v>
      </c>
      <c r="S22" s="17">
        <f t="shared" si="21"/>
        <v>18644.383667775001</v>
      </c>
      <c r="V22" s="5"/>
      <c r="W22" s="5"/>
      <c r="Z22" s="5"/>
      <c r="AA22" s="5"/>
    </row>
    <row r="23" spans="1:31" x14ac:dyDescent="0.25">
      <c r="F23" s="4"/>
      <c r="H23" s="5"/>
      <c r="L23" s="5"/>
      <c r="M23" s="5"/>
      <c r="N23" t="s">
        <v>15</v>
      </c>
      <c r="O23" s="7">
        <f>SUM(O5:O22)</f>
        <v>24355942.99653155</v>
      </c>
      <c r="P23" s="5"/>
      <c r="R23" s="5"/>
      <c r="V23" s="5"/>
      <c r="W23" s="5"/>
      <c r="Z23" s="5"/>
      <c r="AA23" s="5"/>
    </row>
    <row r="24" spans="1:31" x14ac:dyDescent="0.25">
      <c r="A24" t="s">
        <v>18</v>
      </c>
      <c r="E24" t="s">
        <v>19</v>
      </c>
      <c r="F24">
        <f>B4*40000/500*24</f>
        <v>9600</v>
      </c>
      <c r="G24">
        <v>10000</v>
      </c>
      <c r="H24">
        <f>(D5+D6+D8+D9+D10+D11+D12+D13)*40000/500</f>
        <v>9640</v>
      </c>
      <c r="L24" s="5"/>
      <c r="M24" s="5"/>
      <c r="N24" s="5"/>
      <c r="O24" s="7"/>
      <c r="P24" s="5"/>
      <c r="R24" s="5"/>
      <c r="V24" s="5"/>
      <c r="W24" s="5"/>
      <c r="Z24" s="5"/>
      <c r="AA24" s="5"/>
    </row>
    <row r="25" spans="1:31" x14ac:dyDescent="0.25">
      <c r="A25" t="s">
        <v>17</v>
      </c>
      <c r="E25" t="s">
        <v>20</v>
      </c>
      <c r="G25">
        <f>G24*0.2*540/3/600</f>
        <v>600</v>
      </c>
    </row>
    <row r="26" spans="1:31" x14ac:dyDescent="0.25">
      <c r="E26" t="s">
        <v>108</v>
      </c>
      <c r="G26">
        <f>G24/100*7*24</f>
        <v>16800</v>
      </c>
      <c r="O26" s="7"/>
      <c r="P26" s="7"/>
      <c r="Q26" s="7"/>
      <c r="R26" s="7"/>
      <c r="S26" s="7"/>
    </row>
    <row r="27" spans="1:31" x14ac:dyDescent="0.25">
      <c r="O27" s="7"/>
      <c r="P27" s="7"/>
      <c r="Q27" s="7"/>
      <c r="R27" s="7"/>
      <c r="S27" s="7"/>
    </row>
    <row r="28" spans="1:31" x14ac:dyDescent="0.25">
      <c r="A28" s="2" t="s">
        <v>0</v>
      </c>
      <c r="O28" s="7"/>
      <c r="P28" s="7"/>
      <c r="Q28" s="7"/>
      <c r="R28" s="7"/>
      <c r="S28" s="7"/>
    </row>
    <row r="29" spans="1:31" ht="30" x14ac:dyDescent="0.25">
      <c r="A29">
        <v>50</v>
      </c>
      <c r="B29" s="2" t="s">
        <v>1</v>
      </c>
    </row>
    <row r="30" spans="1:31" x14ac:dyDescent="0.25">
      <c r="A30" s="15"/>
      <c r="B30" s="1">
        <f>A29/20</f>
        <v>2.5</v>
      </c>
      <c r="C30" t="s">
        <v>93</v>
      </c>
    </row>
    <row r="31" spans="1:31" ht="45" x14ac:dyDescent="0.25">
      <c r="B31" s="15"/>
      <c r="C31" s="15"/>
      <c r="D31" s="15" t="s">
        <v>3</v>
      </c>
      <c r="E31" s="15" t="s">
        <v>4</v>
      </c>
      <c r="F31" s="18" t="s">
        <v>5</v>
      </c>
      <c r="G31" s="18" t="s">
        <v>96</v>
      </c>
      <c r="H31" s="28" t="s">
        <v>10</v>
      </c>
      <c r="I31" s="28"/>
      <c r="J31" s="28"/>
      <c r="K31" s="28"/>
      <c r="L31" s="15" t="s">
        <v>11</v>
      </c>
      <c r="M31" s="15" t="s">
        <v>14</v>
      </c>
      <c r="N31" s="15" t="s">
        <v>12</v>
      </c>
      <c r="O31" s="6" t="s">
        <v>13</v>
      </c>
      <c r="P31" s="15" t="s">
        <v>47</v>
      </c>
      <c r="Q31" s="15" t="s">
        <v>49</v>
      </c>
      <c r="R31" s="15" t="s">
        <v>48</v>
      </c>
      <c r="S31" s="15" t="s">
        <v>50</v>
      </c>
      <c r="T31" s="15" t="s">
        <v>41</v>
      </c>
      <c r="U31" s="15" t="s">
        <v>78</v>
      </c>
      <c r="V31" s="15" t="s">
        <v>42</v>
      </c>
      <c r="W31" s="15" t="s">
        <v>43</v>
      </c>
      <c r="X31" s="15" t="s">
        <v>41</v>
      </c>
      <c r="Y31" s="15" t="s">
        <v>78</v>
      </c>
      <c r="Z31" s="15" t="s">
        <v>42</v>
      </c>
      <c r="AA31" s="15" t="s">
        <v>43</v>
      </c>
      <c r="AB31" s="12"/>
      <c r="AC31" s="12"/>
      <c r="AD31" s="12"/>
      <c r="AE31" s="12"/>
    </row>
    <row r="32" spans="1:31" x14ac:dyDescent="0.25">
      <c r="A32" s="3" t="s">
        <v>52</v>
      </c>
      <c r="B32" t="s">
        <v>80</v>
      </c>
      <c r="D32">
        <f>B30*0.3</f>
        <v>0.75</v>
      </c>
      <c r="E32">
        <v>1500</v>
      </c>
      <c r="F32" s="4">
        <f>SQRT(D32*4*1000/E32/3.14159)*1000</f>
        <v>797.88489777520738</v>
      </c>
      <c r="G32" s="4">
        <v>800</v>
      </c>
      <c r="H32" s="4">
        <v>6</v>
      </c>
      <c r="I32" s="4"/>
      <c r="J32" s="4"/>
      <c r="L32" s="5">
        <f>3.14159*G32*E32*H32*7.85/1000000</f>
        <v>177.56266679999999</v>
      </c>
      <c r="M32" s="5">
        <f>G32*G32*1.22*1.22*H32*7.85*2/1000000</f>
        <v>89.732659200000001</v>
      </c>
      <c r="N32" s="5">
        <f t="shared" ref="N32:N38" si="22">(K32+L32)*0.05</f>
        <v>8.8781333399999998</v>
      </c>
      <c r="O32" s="7">
        <f>SUM(L32, M32,N32)*E2</f>
        <v>55234.691867999994</v>
      </c>
      <c r="P32" s="5">
        <f t="shared" ref="P32:P49" si="23">L32+M32+N32</f>
        <v>276.17345933999997</v>
      </c>
      <c r="Q32">
        <f t="shared" ref="Q32:Q37" si="24">D32*800</f>
        <v>600</v>
      </c>
      <c r="R32" s="17">
        <f t="shared" ref="R32:R49" si="25">P32+Q32</f>
        <v>876.17345933999991</v>
      </c>
      <c r="S32" s="17"/>
      <c r="T32" s="16" t="s">
        <v>51</v>
      </c>
      <c r="U32" s="16">
        <f>D32/20*1000</f>
        <v>37.5</v>
      </c>
      <c r="V32" s="5">
        <f>SQRT(U32*4*1000/60/3.14)</f>
        <v>28.216632399155017</v>
      </c>
      <c r="W32" s="5">
        <f>SQRT(U32*4*1000/3/60/3.14)</f>
        <v>16.290880311276865</v>
      </c>
      <c r="X32" s="16" t="s">
        <v>72</v>
      </c>
      <c r="Y32" s="21">
        <f>10000/60</f>
        <v>166.66666666666666</v>
      </c>
      <c r="Z32" s="5">
        <f>SQRT(Y32*4*1000/60/3.14)</f>
        <v>59.485884187354138</v>
      </c>
      <c r="AA32" s="5">
        <f>SQRT(Y32*4*1000/3/60/3.14)</f>
        <v>34.344191248551816</v>
      </c>
      <c r="AB32" s="5"/>
      <c r="AD32" s="5"/>
    </row>
    <row r="33" spans="1:30" x14ac:dyDescent="0.25">
      <c r="A33" t="s">
        <v>53</v>
      </c>
      <c r="B33" t="s">
        <v>81</v>
      </c>
      <c r="D33">
        <v>9</v>
      </c>
      <c r="E33">
        <v>2400</v>
      </c>
      <c r="F33" s="4">
        <f t="shared" ref="F33:F37" si="26">SQRT(D33*4*1000/E33/3.14159)*1000</f>
        <v>2185.0977840209225</v>
      </c>
      <c r="G33" s="4">
        <v>2100</v>
      </c>
      <c r="H33" s="4">
        <v>6</v>
      </c>
      <c r="I33" s="4"/>
      <c r="J33" s="4"/>
      <c r="L33" s="5">
        <f>3.14159*G33*E33*H33*8.15/1000000</f>
        <v>774.26370503999999</v>
      </c>
      <c r="M33" s="5">
        <f>G33*G33*1.22*1.22*H33*8.15*2/1000000</f>
        <v>641.94394320000004</v>
      </c>
      <c r="N33" s="5">
        <f t="shared" si="22"/>
        <v>38.713185252000002</v>
      </c>
      <c r="O33" s="7">
        <f>SUM(L33, M33,N33)*E2*3*1.4</f>
        <v>1222133.5001332799</v>
      </c>
      <c r="P33" s="5">
        <f t="shared" si="23"/>
        <v>1454.9208334919999</v>
      </c>
      <c r="Q33">
        <f t="shared" si="24"/>
        <v>7200</v>
      </c>
      <c r="R33" s="17">
        <f t="shared" si="25"/>
        <v>8654.9208334920004</v>
      </c>
      <c r="S33" s="17">
        <f t="shared" ref="S33:S35" si="27">R33*1.2</f>
        <v>10385.9050001904</v>
      </c>
      <c r="T33" s="16" t="s">
        <v>63</v>
      </c>
      <c r="U33" s="24">
        <f>G52</f>
        <v>300</v>
      </c>
      <c r="V33" s="5">
        <f>SQRT(U33*4*1000/60/3.14)</f>
        <v>79.808688446762218</v>
      </c>
      <c r="W33" s="5">
        <f>SQRT(U33*4*1000/3/60/3.14)</f>
        <v>46.077567758409138</v>
      </c>
      <c r="X33" s="16" t="s">
        <v>73</v>
      </c>
      <c r="Y33" s="21">
        <f>B30*1000*1.1/60</f>
        <v>45.833333333333336</v>
      </c>
      <c r="Z33" s="5">
        <f t="shared" ref="Z33:Z45" si="28">SQRT(Y33*4*1000/60/3.14)</f>
        <v>31.194660838460962</v>
      </c>
      <c r="AA33" s="5">
        <f t="shared" ref="AA33:AA45" si="29">SQRT(Y33*4*1000/3/60/3.14)</f>
        <v>18.010245832364514</v>
      </c>
      <c r="AB33" s="5"/>
      <c r="AD33" s="5"/>
    </row>
    <row r="34" spans="1:30" x14ac:dyDescent="0.25">
      <c r="A34" t="s">
        <v>54</v>
      </c>
      <c r="B34" t="s">
        <v>82</v>
      </c>
      <c r="D34">
        <f>B30*0.3</f>
        <v>0.75</v>
      </c>
      <c r="E34">
        <v>1200</v>
      </c>
      <c r="F34" s="4">
        <f t="shared" si="26"/>
        <v>892.06243482291711</v>
      </c>
      <c r="G34" s="4">
        <v>900</v>
      </c>
      <c r="H34" s="4">
        <v>4</v>
      </c>
      <c r="I34" s="4"/>
      <c r="J34" s="4"/>
      <c r="L34" s="5">
        <f>3.14159*G34*E34*H34*8.15/1000000</f>
        <v>110.60910072000001</v>
      </c>
      <c r="M34" s="5">
        <f>G34*G34*1.22*1.22*H34*8.15*2/1000000</f>
        <v>78.605380799999992</v>
      </c>
      <c r="N34" s="5">
        <f t="shared" si="22"/>
        <v>5.5304550360000011</v>
      </c>
      <c r="O34" s="7">
        <f>SUM(L34, M34,N34)*D2*2</f>
        <v>194744.936556</v>
      </c>
      <c r="P34" s="5">
        <f t="shared" si="23"/>
        <v>194.744936556</v>
      </c>
      <c r="Q34">
        <f t="shared" si="24"/>
        <v>600</v>
      </c>
      <c r="R34" s="17">
        <f t="shared" si="25"/>
        <v>794.74493655599997</v>
      </c>
      <c r="S34" s="17"/>
      <c r="T34" s="16" t="s">
        <v>64</v>
      </c>
      <c r="U34" s="16">
        <f>D33*1000/60/4</f>
        <v>37.5</v>
      </c>
      <c r="V34" s="5">
        <f>SQRT(U34*4*1000/60/3.14)</f>
        <v>28.216632399155017</v>
      </c>
      <c r="W34" s="5">
        <f t="shared" ref="W34:W46" si="30">SQRT(U34*4*1000/3/60/3.14)</f>
        <v>16.290880311276865</v>
      </c>
      <c r="X34" s="16" t="s">
        <v>74</v>
      </c>
      <c r="Y34" s="21">
        <f>10000/60</f>
        <v>166.66666666666666</v>
      </c>
      <c r="Z34" s="5">
        <f t="shared" si="28"/>
        <v>59.485884187354138</v>
      </c>
      <c r="AA34" s="5">
        <f t="shared" si="29"/>
        <v>34.344191248551816</v>
      </c>
      <c r="AB34" s="5"/>
      <c r="AD34" s="5"/>
    </row>
    <row r="35" spans="1:30" x14ac:dyDescent="0.25">
      <c r="A35" t="s">
        <v>55</v>
      </c>
      <c r="B35" t="s">
        <v>83</v>
      </c>
      <c r="D35">
        <f>B30*4</f>
        <v>10</v>
      </c>
      <c r="E35">
        <v>2400</v>
      </c>
      <c r="F35" s="4">
        <f t="shared" si="26"/>
        <v>2303.2953025642651</v>
      </c>
      <c r="G35" s="4">
        <v>2400</v>
      </c>
      <c r="H35" s="4">
        <v>6</v>
      </c>
      <c r="I35" s="4"/>
      <c r="J35" s="4"/>
      <c r="L35" s="5">
        <f>3.14159*G35*E35*H35*8.15/1000000</f>
        <v>884.87280576000001</v>
      </c>
      <c r="M35" s="5">
        <f>G35*G35*1.22*1.22*H35*8.15*2/1000000</f>
        <v>838.45739520000006</v>
      </c>
      <c r="N35" s="5">
        <f t="shared" si="22"/>
        <v>44.243640288000002</v>
      </c>
      <c r="O35" s="7">
        <f>SUM(L35, M35,N35)*D2*1.2</f>
        <v>1060544.3047488001</v>
      </c>
      <c r="P35" s="5">
        <f t="shared" si="23"/>
        <v>1767.5738412480002</v>
      </c>
      <c r="Q35">
        <f t="shared" si="24"/>
        <v>8000</v>
      </c>
      <c r="R35" s="17">
        <f t="shared" si="25"/>
        <v>9767.5738412480005</v>
      </c>
      <c r="S35" s="17">
        <f t="shared" si="27"/>
        <v>11721.088609497599</v>
      </c>
      <c r="T35" s="16" t="s">
        <v>65</v>
      </c>
      <c r="U35" s="16">
        <f>D34*1000/15</f>
        <v>50</v>
      </c>
      <c r="V35" s="5">
        <f>SQRT(U35*4*1000/60/3.14)</f>
        <v>32.58176062255373</v>
      </c>
      <c r="W35" s="5">
        <f t="shared" si="30"/>
        <v>18.811088266103344</v>
      </c>
      <c r="X35" s="16" t="s">
        <v>79</v>
      </c>
      <c r="Y35" s="21">
        <f>B30*1000*1.1/60</f>
        <v>45.833333333333336</v>
      </c>
      <c r="Z35" s="5">
        <f t="shared" si="28"/>
        <v>31.194660838460962</v>
      </c>
      <c r="AA35" s="5">
        <f t="shared" si="29"/>
        <v>18.010245832364514</v>
      </c>
      <c r="AB35" s="5"/>
      <c r="AD35" s="5"/>
    </row>
    <row r="36" spans="1:30" x14ac:dyDescent="0.25">
      <c r="A36" t="s">
        <v>56</v>
      </c>
      <c r="B36" t="s">
        <v>84</v>
      </c>
      <c r="D36">
        <f>B30</f>
        <v>2.5</v>
      </c>
      <c r="E36">
        <v>1500</v>
      </c>
      <c r="F36" s="4">
        <f t="shared" si="26"/>
        <v>1456.7318560139486</v>
      </c>
      <c r="G36" s="4">
        <v>1500</v>
      </c>
      <c r="H36" s="4">
        <v>6</v>
      </c>
      <c r="I36" s="4"/>
      <c r="J36" s="4"/>
      <c r="L36" s="5">
        <f>3.14159*G36*E36*H36*7.85/1000000</f>
        <v>332.93000024999998</v>
      </c>
      <c r="M36" s="5">
        <f>G36*G36*1.22*1.22*H36*7.85*2/1000000</f>
        <v>315.46638000000002</v>
      </c>
      <c r="N36" s="5">
        <f t="shared" si="22"/>
        <v>16.646500012499999</v>
      </c>
      <c r="O36" s="7">
        <f>(L36+M36+N36)*E2*1.4</f>
        <v>186212.00647349999</v>
      </c>
      <c r="P36" s="5">
        <f t="shared" si="23"/>
        <v>665.04288026250003</v>
      </c>
      <c r="Q36">
        <f t="shared" si="24"/>
        <v>2000</v>
      </c>
      <c r="R36" s="17">
        <f t="shared" si="25"/>
        <v>2665.0428802625001</v>
      </c>
      <c r="S36" s="17"/>
      <c r="T36" s="16" t="s">
        <v>66</v>
      </c>
      <c r="U36" s="21">
        <f>D35*1000/60/4</f>
        <v>41.666666666666664</v>
      </c>
      <c r="V36" s="5">
        <f t="shared" ref="V36:V46" si="31">SQRT(U36*4*1000/60/3.14)</f>
        <v>29.742942093677069</v>
      </c>
      <c r="W36" s="5">
        <f t="shared" si="30"/>
        <v>17.172095624275908</v>
      </c>
      <c r="X36" s="16" t="s">
        <v>75</v>
      </c>
      <c r="Y36" s="21">
        <f>10000/60</f>
        <v>166.66666666666666</v>
      </c>
      <c r="Z36" s="5">
        <f t="shared" si="28"/>
        <v>59.485884187354138</v>
      </c>
      <c r="AA36" s="5">
        <f t="shared" si="29"/>
        <v>34.344191248551816</v>
      </c>
      <c r="AB36" s="5"/>
      <c r="AD36" s="5"/>
    </row>
    <row r="37" spans="1:30" x14ac:dyDescent="0.25">
      <c r="A37" t="s">
        <v>102</v>
      </c>
      <c r="B37" t="s">
        <v>85</v>
      </c>
      <c r="D37">
        <f>B30*0.2</f>
        <v>0.5</v>
      </c>
      <c r="E37">
        <v>1200</v>
      </c>
      <c r="F37" s="4">
        <f t="shared" si="26"/>
        <v>728.36592800697429</v>
      </c>
      <c r="G37" s="4">
        <v>750</v>
      </c>
      <c r="H37" s="4">
        <v>6</v>
      </c>
      <c r="I37" s="4"/>
      <c r="J37" s="4"/>
      <c r="L37" s="5">
        <f>3.14159*G37*E37*H37*7.85/1000000</f>
        <v>133.17200009999999</v>
      </c>
      <c r="M37" s="5">
        <f>G37*G37*1.22*1.22*H37*7.85*2/1000000</f>
        <v>78.866595000000004</v>
      </c>
      <c r="N37" s="5">
        <f t="shared" si="22"/>
        <v>6.6586000050000003</v>
      </c>
      <c r="O37" s="7">
        <f>(L37+M37+N37)*E2</f>
        <v>43739.439021000006</v>
      </c>
      <c r="P37" s="5">
        <f t="shared" si="23"/>
        <v>218.69719510500002</v>
      </c>
      <c r="Q37">
        <f t="shared" si="24"/>
        <v>400</v>
      </c>
      <c r="R37" s="17">
        <f t="shared" si="25"/>
        <v>618.69719510499999</v>
      </c>
      <c r="S37" s="17"/>
      <c r="T37" s="16" t="s">
        <v>67</v>
      </c>
      <c r="U37" s="21">
        <f>D35*1000/60/15</f>
        <v>11.111111111111111</v>
      </c>
      <c r="V37" s="5">
        <f t="shared" si="31"/>
        <v>15.359189252803047</v>
      </c>
      <c r="W37" s="5">
        <f t="shared" si="30"/>
        <v>8.8676320496402461</v>
      </c>
      <c r="X37" s="16" t="s">
        <v>44</v>
      </c>
      <c r="Y37" s="21">
        <f>10000/60</f>
        <v>166.66666666666666</v>
      </c>
      <c r="Z37" s="5">
        <f t="shared" si="28"/>
        <v>59.485884187354138</v>
      </c>
      <c r="AA37" s="5">
        <f t="shared" si="29"/>
        <v>34.344191248551816</v>
      </c>
      <c r="AB37" s="5"/>
      <c r="AD37" s="5"/>
    </row>
    <row r="38" spans="1:30" x14ac:dyDescent="0.25">
      <c r="A38" t="s">
        <v>103</v>
      </c>
      <c r="B38" t="s">
        <v>94</v>
      </c>
      <c r="D38">
        <f>B30*5.5</f>
        <v>13.75</v>
      </c>
      <c r="E38">
        <v>4800</v>
      </c>
      <c r="F38" s="4">
        <f>SQRT(D38*4*1000/E38/3/3.14159)*1000</f>
        <v>1102.618679921432</v>
      </c>
      <c r="G38" s="4">
        <v>1100</v>
      </c>
      <c r="H38" s="4">
        <v>8</v>
      </c>
      <c r="I38" s="4">
        <v>6</v>
      </c>
      <c r="J38" s="4">
        <v>5</v>
      </c>
      <c r="K38" s="4">
        <v>4</v>
      </c>
      <c r="L38" s="5">
        <f>3.14159*G38*E38*(H38+I38+J38+K38)*7.85/4000000</f>
        <v>748.72257833999993</v>
      </c>
      <c r="M38" s="5">
        <f>G38*G38*1.22*1.22*H38*7.85*2/1000000</f>
        <v>226.20107839999997</v>
      </c>
      <c r="N38" s="5">
        <f t="shared" si="22"/>
        <v>37.636128917000001</v>
      </c>
      <c r="O38" s="7">
        <f>(L38+M38+N38)*E2*1.25</f>
        <v>253139.94641424995</v>
      </c>
      <c r="P38" s="5">
        <f t="shared" si="23"/>
        <v>1012.5597856569998</v>
      </c>
      <c r="Q38" s="4">
        <f>D38*800</f>
        <v>11000</v>
      </c>
      <c r="R38" s="17">
        <f t="shared" si="25"/>
        <v>12012.559785657</v>
      </c>
      <c r="S38" s="17"/>
      <c r="T38" s="16" t="s">
        <v>68</v>
      </c>
      <c r="U38" s="21">
        <f>D35*1000/60/4</f>
        <v>41.666666666666664</v>
      </c>
      <c r="V38" s="5">
        <f t="shared" si="31"/>
        <v>29.742942093677069</v>
      </c>
      <c r="W38" s="5">
        <f t="shared" si="30"/>
        <v>17.172095624275908</v>
      </c>
      <c r="X38" s="16" t="s">
        <v>76</v>
      </c>
      <c r="Y38" s="21">
        <f>B30*1000/5/60</f>
        <v>8.3333333333333339</v>
      </c>
      <c r="Z38" s="5">
        <f t="shared" si="28"/>
        <v>13.301448074460369</v>
      </c>
      <c r="AA38" s="5">
        <f t="shared" si="29"/>
        <v>7.6795946264015233</v>
      </c>
      <c r="AB38" s="5"/>
      <c r="AD38" s="5"/>
    </row>
    <row r="39" spans="1:30" x14ac:dyDescent="0.25">
      <c r="A39" t="s">
        <v>104</v>
      </c>
      <c r="B39" t="s">
        <v>94</v>
      </c>
      <c r="D39">
        <f>B30*5</f>
        <v>12.5</v>
      </c>
      <c r="E39">
        <v>4600</v>
      </c>
      <c r="F39" s="4">
        <f t="shared" ref="F39:F40" si="32">SQRT(D39*4*1000/E39/3/3.14159)*1000</f>
        <v>1073.9169722192528</v>
      </c>
      <c r="G39" s="4">
        <v>1100</v>
      </c>
      <c r="H39" s="4">
        <v>8</v>
      </c>
      <c r="I39" s="4">
        <v>6</v>
      </c>
      <c r="J39" s="4">
        <v>5</v>
      </c>
      <c r="K39" s="4">
        <v>4</v>
      </c>
      <c r="L39" s="5">
        <f t="shared" ref="L39:L40" si="33">3.14159*G39*E39*(H39+I39+J39+K39)*7.85/4000000</f>
        <v>717.52580424249993</v>
      </c>
      <c r="M39" s="5">
        <f t="shared" ref="M39:M40" si="34">G39*G39*1.22*1.22*H39*7.85*2/1000000</f>
        <v>226.20107839999997</v>
      </c>
      <c r="N39" s="5">
        <f t="shared" ref="N39:N40" si="35">(K39+L39)*0.05</f>
        <v>36.076290212124995</v>
      </c>
      <c r="O39" s="7">
        <f>(L39+M39+N39)*E2*1.25</f>
        <v>244950.79321365623</v>
      </c>
      <c r="P39" s="5">
        <f t="shared" ref="P39:P40" si="36">L39+M39+N39</f>
        <v>979.8031728546249</v>
      </c>
      <c r="Q39" s="4">
        <f>D39*800</f>
        <v>10000</v>
      </c>
      <c r="R39" s="17">
        <f t="shared" ref="R39:R40" si="37">P39+Q39</f>
        <v>10979.803172854625</v>
      </c>
      <c r="S39" s="17"/>
      <c r="T39" s="22"/>
      <c r="U39" s="22"/>
      <c r="V39" s="5"/>
      <c r="W39" s="5"/>
      <c r="X39" s="22"/>
      <c r="Y39" s="22"/>
      <c r="Z39" s="5"/>
      <c r="AA39" s="5"/>
      <c r="AB39" s="5"/>
      <c r="AD39" s="5"/>
    </row>
    <row r="40" spans="1:30" x14ac:dyDescent="0.25">
      <c r="A40" t="s">
        <v>99</v>
      </c>
      <c r="B40" t="s">
        <v>94</v>
      </c>
      <c r="D40">
        <f>B30*4.5</f>
        <v>11.25</v>
      </c>
      <c r="E40">
        <v>4400</v>
      </c>
      <c r="F40" s="4">
        <f t="shared" si="32"/>
        <v>1041.7044954536975</v>
      </c>
      <c r="G40" s="4">
        <v>1100</v>
      </c>
      <c r="H40" s="4">
        <v>8</v>
      </c>
      <c r="I40" s="4">
        <v>6</v>
      </c>
      <c r="J40" s="4">
        <v>5</v>
      </c>
      <c r="K40" s="4">
        <v>4</v>
      </c>
      <c r="L40" s="5">
        <f t="shared" si="33"/>
        <v>686.32903014499993</v>
      </c>
      <c r="M40" s="5">
        <f t="shared" si="34"/>
        <v>226.20107839999997</v>
      </c>
      <c r="N40" s="5">
        <f t="shared" si="35"/>
        <v>34.516451507249997</v>
      </c>
      <c r="O40" s="7">
        <f>(L40+M40+N40)*E2*1.25</f>
        <v>236761.64001306245</v>
      </c>
      <c r="P40" s="5">
        <f t="shared" si="36"/>
        <v>947.04656005224979</v>
      </c>
      <c r="Q40">
        <f>D40*800</f>
        <v>9000</v>
      </c>
      <c r="R40" s="17">
        <f t="shared" si="37"/>
        <v>9947.0465600522493</v>
      </c>
      <c r="S40" s="17"/>
      <c r="T40" s="22"/>
      <c r="U40" s="22"/>
      <c r="V40" s="5"/>
      <c r="W40" s="5"/>
      <c r="X40" s="22"/>
      <c r="Y40" s="22"/>
      <c r="Z40" s="5"/>
      <c r="AA40" s="5"/>
      <c r="AB40" s="5"/>
      <c r="AD40" s="5"/>
    </row>
    <row r="41" spans="1:30" x14ac:dyDescent="0.25">
      <c r="A41" t="s">
        <v>100</v>
      </c>
      <c r="B41" t="s">
        <v>97</v>
      </c>
      <c r="E41">
        <v>2000</v>
      </c>
      <c r="F41" s="4"/>
      <c r="G41" s="17" t="s">
        <v>106</v>
      </c>
      <c r="H41" s="4"/>
      <c r="I41" s="4"/>
      <c r="J41" s="4"/>
      <c r="L41" s="5"/>
      <c r="M41" s="5"/>
      <c r="N41" s="5"/>
      <c r="O41" s="7">
        <v>500000</v>
      </c>
      <c r="P41" s="5"/>
      <c r="R41" s="17">
        <v>250</v>
      </c>
      <c r="T41" s="19"/>
      <c r="U41" s="19"/>
      <c r="V41" s="5"/>
      <c r="W41" s="5"/>
      <c r="X41" s="19"/>
      <c r="Y41" s="19"/>
      <c r="Z41" s="5"/>
      <c r="AA41" s="5"/>
      <c r="AB41" s="5"/>
      <c r="AD41" s="5"/>
    </row>
    <row r="42" spans="1:30" x14ac:dyDescent="0.25">
      <c r="B42" t="s">
        <v>101</v>
      </c>
      <c r="E42">
        <v>3000</v>
      </c>
      <c r="F42" s="4"/>
      <c r="G42" s="17" t="s">
        <v>106</v>
      </c>
      <c r="H42" s="4"/>
      <c r="I42" s="4"/>
      <c r="J42" s="4"/>
      <c r="L42" s="5"/>
      <c r="M42" s="5"/>
      <c r="N42" s="5"/>
      <c r="O42" s="7">
        <v>75000</v>
      </c>
      <c r="P42" s="5"/>
      <c r="R42" s="17">
        <v>300</v>
      </c>
      <c r="T42" s="19"/>
      <c r="U42" s="19"/>
      <c r="V42" s="5"/>
      <c r="W42" s="5"/>
      <c r="X42" s="19"/>
      <c r="Y42" s="19"/>
      <c r="Z42" s="5"/>
      <c r="AA42" s="5"/>
      <c r="AB42" s="5"/>
      <c r="AD42" s="5"/>
    </row>
    <row r="43" spans="1:30" x14ac:dyDescent="0.25">
      <c r="A43" t="s">
        <v>105</v>
      </c>
      <c r="B43" t="s">
        <v>98</v>
      </c>
      <c r="E43">
        <v>4200</v>
      </c>
      <c r="F43" s="4"/>
      <c r="G43" s="4">
        <v>900</v>
      </c>
      <c r="H43" s="4">
        <v>3</v>
      </c>
      <c r="I43" s="4"/>
      <c r="J43" s="4"/>
      <c r="L43" s="5">
        <f>3.14159*G43*E43*H43*7.85/1000000</f>
        <v>279.66120020999995</v>
      </c>
      <c r="M43" s="5">
        <f>G43*G43*1.22*1.22*H43*7.85*2/1000000</f>
        <v>56.7839484</v>
      </c>
      <c r="N43" s="5">
        <f t="shared" ref="N43" si="38">(K43+L43)*0.05</f>
        <v>13.983060010499997</v>
      </c>
      <c r="O43" s="7">
        <v>50000</v>
      </c>
      <c r="P43" s="5">
        <f t="shared" si="23"/>
        <v>350.42820862049996</v>
      </c>
      <c r="Q43">
        <v>500</v>
      </c>
      <c r="R43" s="17">
        <f t="shared" ref="R43" si="39">P43+Q43</f>
        <v>850.42820862049996</v>
      </c>
      <c r="T43" s="19"/>
      <c r="U43" s="19"/>
      <c r="V43" s="5"/>
      <c r="W43" s="5"/>
      <c r="X43" s="19"/>
      <c r="Y43" s="19"/>
      <c r="Z43" s="5"/>
      <c r="AA43" s="5"/>
      <c r="AB43" s="5"/>
      <c r="AD43" s="5"/>
    </row>
    <row r="44" spans="1:30" x14ac:dyDescent="0.25">
      <c r="A44" t="s">
        <v>57</v>
      </c>
      <c r="B44" t="s">
        <v>87</v>
      </c>
      <c r="D44">
        <v>100</v>
      </c>
      <c r="E44">
        <v>4500</v>
      </c>
      <c r="F44" s="4">
        <f t="shared" ref="F44:F49" si="40">SQRT(D44*4*1000/E44/3.14159)*1000</f>
        <v>5319.2326518347154</v>
      </c>
      <c r="G44" s="4">
        <v>5500</v>
      </c>
      <c r="H44" s="4">
        <v>10</v>
      </c>
      <c r="I44" s="4">
        <v>8</v>
      </c>
      <c r="J44" s="4">
        <v>6</v>
      </c>
      <c r="K44" s="5"/>
      <c r="L44" s="5">
        <f t="shared" ref="L44:L49" si="41">3.14159*G44*E44*(H44+I44+J44)*7.85/3000000</f>
        <v>4882.9733370000004</v>
      </c>
      <c r="M44" s="5">
        <f t="shared" ref="M44:M49" si="42">G44*G44*1.22*1.22*H44*7.85*2/1000000</f>
        <v>7068.7837</v>
      </c>
      <c r="N44" s="5">
        <f t="shared" ref="N44:N49" si="43">(K44+L44)*0.05</f>
        <v>244.14866685000004</v>
      </c>
      <c r="O44" s="7">
        <f>SUM(L44, M44,N44)*F2*2*2</f>
        <v>4878362.2815399999</v>
      </c>
      <c r="P44" s="5">
        <f t="shared" si="23"/>
        <v>12195.90570385</v>
      </c>
      <c r="Q44">
        <f t="shared" ref="Q44:Q49" si="44">D44*800</f>
        <v>80000</v>
      </c>
      <c r="R44" s="17">
        <f t="shared" si="25"/>
        <v>92195.905703850003</v>
      </c>
      <c r="S44" s="17"/>
      <c r="T44" s="16" t="s">
        <v>69</v>
      </c>
      <c r="U44" s="21">
        <f>B30*1000/60</f>
        <v>41.666666666666664</v>
      </c>
      <c r="V44" s="5">
        <f t="shared" si="31"/>
        <v>29.742942093677069</v>
      </c>
      <c r="W44" s="5">
        <f t="shared" si="30"/>
        <v>17.172095624275908</v>
      </c>
      <c r="X44" s="16" t="s">
        <v>77</v>
      </c>
      <c r="Y44" s="21">
        <f>10000/60</f>
        <v>166.66666666666666</v>
      </c>
      <c r="Z44" s="5">
        <f t="shared" si="28"/>
        <v>59.485884187354138</v>
      </c>
      <c r="AA44" s="5">
        <f t="shared" si="29"/>
        <v>34.344191248551816</v>
      </c>
      <c r="AB44" s="5"/>
      <c r="AD44" s="5"/>
    </row>
    <row r="45" spans="1:30" x14ac:dyDescent="0.25">
      <c r="A45" t="s">
        <v>58</v>
      </c>
      <c r="B45" t="s">
        <v>88</v>
      </c>
      <c r="D45">
        <v>100</v>
      </c>
      <c r="E45">
        <v>4500</v>
      </c>
      <c r="F45" s="4">
        <f t="shared" si="40"/>
        <v>5319.2326518347154</v>
      </c>
      <c r="G45" s="4">
        <v>5500</v>
      </c>
      <c r="H45" s="4">
        <v>10</v>
      </c>
      <c r="I45" s="4">
        <v>8</v>
      </c>
      <c r="J45" s="4">
        <v>6</v>
      </c>
      <c r="K45" s="5"/>
      <c r="L45" s="5">
        <f t="shared" si="41"/>
        <v>4882.9733370000004</v>
      </c>
      <c r="M45" s="5">
        <f t="shared" si="42"/>
        <v>7068.7837</v>
      </c>
      <c r="N45" s="5">
        <f t="shared" si="43"/>
        <v>244.14866685000004</v>
      </c>
      <c r="O45" s="7">
        <f>SUM(L45, M45,N45)*F2*2*2</f>
        <v>4878362.2815399999</v>
      </c>
      <c r="P45" s="5">
        <f t="shared" si="23"/>
        <v>12195.90570385</v>
      </c>
      <c r="Q45">
        <f t="shared" si="44"/>
        <v>80000</v>
      </c>
      <c r="R45" s="17">
        <f t="shared" si="25"/>
        <v>92195.905703850003</v>
      </c>
      <c r="S45" s="17"/>
      <c r="T45" s="16" t="s">
        <v>70</v>
      </c>
      <c r="U45" s="21">
        <f>B30*1000/60/4</f>
        <v>10.416666666666666</v>
      </c>
      <c r="V45" s="5">
        <f t="shared" si="31"/>
        <v>14.871471046838534</v>
      </c>
      <c r="W45" s="5">
        <f t="shared" si="30"/>
        <v>8.586047812137954</v>
      </c>
      <c r="X45" s="16" t="s">
        <v>45</v>
      </c>
      <c r="Y45" s="21">
        <f>(G51/60)+ (G52*0.1)</f>
        <v>113.33333333333333</v>
      </c>
      <c r="Z45" s="5">
        <f t="shared" si="28"/>
        <v>49.053316747544095</v>
      </c>
      <c r="AA45" s="5">
        <f t="shared" si="29"/>
        <v>28.320945628838562</v>
      </c>
      <c r="AB45" s="5"/>
      <c r="AD45" s="5"/>
    </row>
    <row r="46" spans="1:30" x14ac:dyDescent="0.25">
      <c r="A46" t="s">
        <v>59</v>
      </c>
      <c r="B46" t="s">
        <v>89</v>
      </c>
      <c r="D46">
        <v>20</v>
      </c>
      <c r="E46">
        <v>3600</v>
      </c>
      <c r="F46" s="4">
        <f t="shared" si="40"/>
        <v>2659.6163259173577</v>
      </c>
      <c r="G46" s="4">
        <v>2500</v>
      </c>
      <c r="H46" s="4">
        <v>8</v>
      </c>
      <c r="I46" s="4">
        <v>6</v>
      </c>
      <c r="J46" s="4">
        <v>5</v>
      </c>
      <c r="K46" s="5"/>
      <c r="L46" s="5">
        <f t="shared" si="41"/>
        <v>1405.7044454999998</v>
      </c>
      <c r="M46" s="5">
        <f t="shared" si="42"/>
        <v>1168.394</v>
      </c>
      <c r="N46" s="5">
        <f t="shared" si="43"/>
        <v>70.285222274999995</v>
      </c>
      <c r="O46" s="7">
        <f>SUM(L46, M46,N46)*F2*2*2</f>
        <v>1057753.4671099999</v>
      </c>
      <c r="P46" s="5">
        <f t="shared" si="23"/>
        <v>2644.3836677749996</v>
      </c>
      <c r="Q46">
        <f t="shared" si="44"/>
        <v>16000</v>
      </c>
      <c r="R46" s="17">
        <f t="shared" si="25"/>
        <v>18644.383667775001</v>
      </c>
      <c r="S46" s="17"/>
      <c r="T46" s="16" t="s">
        <v>71</v>
      </c>
      <c r="U46" s="21">
        <f>B30*1000/60</f>
        <v>41.666666666666664</v>
      </c>
      <c r="V46" s="5">
        <f t="shared" si="31"/>
        <v>29.742942093677069</v>
      </c>
      <c r="W46" s="5">
        <f t="shared" si="30"/>
        <v>17.172095624275908</v>
      </c>
      <c r="X46" s="16"/>
      <c r="Y46" s="16"/>
      <c r="Z46" s="5"/>
      <c r="AA46" s="5"/>
      <c r="AB46" s="5"/>
      <c r="AD46" s="5"/>
    </row>
    <row r="47" spans="1:30" x14ac:dyDescent="0.25">
      <c r="A47" t="s">
        <v>60</v>
      </c>
      <c r="B47" t="s">
        <v>90</v>
      </c>
      <c r="D47">
        <v>20</v>
      </c>
      <c r="E47">
        <v>3600</v>
      </c>
      <c r="F47" s="4">
        <f t="shared" si="40"/>
        <v>2659.6163259173577</v>
      </c>
      <c r="G47" s="4">
        <v>2500</v>
      </c>
      <c r="H47" s="4">
        <v>6</v>
      </c>
      <c r="I47" s="4"/>
      <c r="J47" s="4"/>
      <c r="K47" s="5"/>
      <c r="L47" s="5">
        <f>3.14159*G47*E47*H47*7.85/1000000</f>
        <v>1331.7200009999997</v>
      </c>
      <c r="M47" s="5">
        <f t="shared" si="42"/>
        <v>876.29549999999995</v>
      </c>
      <c r="N47" s="5">
        <f t="shared" si="43"/>
        <v>66.586000049999981</v>
      </c>
      <c r="O47" s="7">
        <f>SUM(L47, M47,N47)*F2*3*2</f>
        <v>1364760.90063</v>
      </c>
      <c r="P47" s="5">
        <f t="shared" si="23"/>
        <v>2274.60150105</v>
      </c>
      <c r="Q47">
        <f t="shared" si="44"/>
        <v>16000</v>
      </c>
      <c r="R47" s="17">
        <f t="shared" si="25"/>
        <v>18274.601501050001</v>
      </c>
      <c r="S47" s="17"/>
      <c r="T47" s="16"/>
      <c r="U47" s="16"/>
      <c r="V47" s="5"/>
      <c r="W47" s="5"/>
      <c r="X47" s="16"/>
      <c r="Y47" s="16"/>
      <c r="Z47" s="5"/>
      <c r="AA47" s="5"/>
      <c r="AB47" s="5"/>
      <c r="AD47" s="5"/>
    </row>
    <row r="48" spans="1:30" x14ac:dyDescent="0.25">
      <c r="A48" t="s">
        <v>61</v>
      </c>
      <c r="B48" t="s">
        <v>91</v>
      </c>
      <c r="D48">
        <v>20</v>
      </c>
      <c r="E48">
        <v>3600</v>
      </c>
      <c r="F48" s="4">
        <f t="shared" si="40"/>
        <v>2659.6163259173577</v>
      </c>
      <c r="G48" s="4">
        <v>2500</v>
      </c>
      <c r="H48" s="4">
        <v>8</v>
      </c>
      <c r="I48" s="4">
        <v>6</v>
      </c>
      <c r="J48" s="4">
        <v>5</v>
      </c>
      <c r="K48" s="5"/>
      <c r="L48" s="5">
        <f t="shared" si="41"/>
        <v>1405.7044454999998</v>
      </c>
      <c r="M48" s="5">
        <f t="shared" si="42"/>
        <v>1168.394</v>
      </c>
      <c r="N48" s="5">
        <f t="shared" si="43"/>
        <v>70.285222274999995</v>
      </c>
      <c r="O48" s="7">
        <f>SUM(L48, M48,N48)*F2*2</f>
        <v>528876.73355499993</v>
      </c>
      <c r="P48" s="5">
        <f t="shared" si="23"/>
        <v>2644.3836677749996</v>
      </c>
      <c r="Q48">
        <f t="shared" si="44"/>
        <v>16000</v>
      </c>
      <c r="R48" s="17">
        <f t="shared" si="25"/>
        <v>18644.383667775001</v>
      </c>
      <c r="S48" s="17"/>
      <c r="T48" s="16"/>
      <c r="U48" s="16"/>
      <c r="V48" s="5"/>
      <c r="W48" s="5"/>
      <c r="X48" s="16"/>
      <c r="Y48" s="16"/>
      <c r="Z48" s="5"/>
      <c r="AA48" s="5"/>
      <c r="AB48" s="5"/>
      <c r="AD48" s="5"/>
    </row>
    <row r="49" spans="1:31" x14ac:dyDescent="0.25">
      <c r="A49" t="s">
        <v>62</v>
      </c>
      <c r="B49" t="s">
        <v>92</v>
      </c>
      <c r="D49">
        <v>20</v>
      </c>
      <c r="E49">
        <v>3600</v>
      </c>
      <c r="F49" s="4">
        <f t="shared" si="40"/>
        <v>2659.6163259173577</v>
      </c>
      <c r="G49" s="4">
        <v>2500</v>
      </c>
      <c r="H49" s="4">
        <v>8</v>
      </c>
      <c r="I49" s="4">
        <v>6</v>
      </c>
      <c r="J49" s="4">
        <v>5</v>
      </c>
      <c r="K49" s="5"/>
      <c r="L49" s="5">
        <f t="shared" si="41"/>
        <v>1405.7044454999998</v>
      </c>
      <c r="M49" s="5">
        <f t="shared" si="42"/>
        <v>1168.394</v>
      </c>
      <c r="N49" s="5">
        <f t="shared" si="43"/>
        <v>70.285222274999995</v>
      </c>
      <c r="O49" s="7">
        <f>SUM(L49, M49,N49)*F2*2</f>
        <v>528876.73355499993</v>
      </c>
      <c r="P49" s="5">
        <f t="shared" si="23"/>
        <v>2644.3836677749996</v>
      </c>
      <c r="Q49">
        <f t="shared" si="44"/>
        <v>16000</v>
      </c>
      <c r="R49" s="17">
        <f t="shared" si="25"/>
        <v>18644.383667775001</v>
      </c>
      <c r="S49" s="17"/>
      <c r="T49" s="16"/>
      <c r="U49" s="16"/>
      <c r="V49" s="5"/>
      <c r="W49" s="5"/>
      <c r="AB49" s="5"/>
      <c r="AD49" s="5"/>
    </row>
    <row r="50" spans="1:31" x14ac:dyDescent="0.25">
      <c r="F50" s="4"/>
      <c r="H50" s="5"/>
      <c r="L50" s="5"/>
      <c r="M50" s="5"/>
      <c r="N50" t="s">
        <v>15</v>
      </c>
      <c r="O50" s="7">
        <f>SUM(O32:O49)</f>
        <v>17359453.656371549</v>
      </c>
      <c r="P50" s="5"/>
      <c r="R50" s="5"/>
      <c r="V50" s="5"/>
      <c r="W50" s="5"/>
      <c r="Z50" s="5"/>
      <c r="AA50" s="5"/>
      <c r="AB50" s="5"/>
      <c r="AD50" s="5"/>
    </row>
    <row r="51" spans="1:31" x14ac:dyDescent="0.25">
      <c r="A51" t="s">
        <v>18</v>
      </c>
      <c r="E51" t="s">
        <v>19</v>
      </c>
      <c r="F51">
        <f>B30*40000/500*24</f>
        <v>4800</v>
      </c>
      <c r="G51">
        <v>5000</v>
      </c>
      <c r="H51">
        <f>(D32+D33+D35+D36+D37+D38+D39+D40)*40000/500</f>
        <v>4820</v>
      </c>
      <c r="L51" s="5"/>
      <c r="M51" s="5"/>
      <c r="N51" s="5"/>
      <c r="O51" s="7"/>
      <c r="P51" s="5"/>
      <c r="R51" s="5"/>
      <c r="V51" s="5"/>
      <c r="W51" s="5"/>
      <c r="Z51" s="5"/>
      <c r="AA51" s="5"/>
    </row>
    <row r="52" spans="1:31" x14ac:dyDescent="0.25">
      <c r="A52" t="s">
        <v>17</v>
      </c>
      <c r="E52" t="s">
        <v>20</v>
      </c>
      <c r="G52">
        <f>G51*0.2*540/3/600</f>
        <v>300</v>
      </c>
      <c r="V52" s="5"/>
      <c r="W52" s="5"/>
      <c r="Z52" s="5"/>
      <c r="AA52" s="5"/>
    </row>
    <row r="53" spans="1:31" x14ac:dyDescent="0.25">
      <c r="E53" t="s">
        <v>108</v>
      </c>
      <c r="G53">
        <f>G51/100*7*24</f>
        <v>8400</v>
      </c>
      <c r="O53" s="7"/>
      <c r="P53" s="7"/>
      <c r="Q53" s="7"/>
      <c r="R53" s="7"/>
      <c r="S53" s="7"/>
    </row>
    <row r="54" spans="1:31" x14ac:dyDescent="0.25">
      <c r="O54" s="7"/>
      <c r="P54" s="7"/>
      <c r="Q54" s="7"/>
      <c r="R54" s="7"/>
      <c r="S54" s="7"/>
    </row>
    <row r="55" spans="1:31" x14ac:dyDescent="0.25">
      <c r="A55" s="2" t="s">
        <v>0</v>
      </c>
      <c r="O55" s="7"/>
      <c r="P55" s="7"/>
      <c r="Q55" s="7"/>
      <c r="R55" s="7"/>
      <c r="S55" s="7"/>
    </row>
    <row r="56" spans="1:31" ht="30" x14ac:dyDescent="0.25">
      <c r="A56">
        <v>30</v>
      </c>
      <c r="B56" s="2" t="s">
        <v>1</v>
      </c>
    </row>
    <row r="57" spans="1:31" x14ac:dyDescent="0.25">
      <c r="A57" s="15"/>
      <c r="B57" s="1">
        <f>A56/20</f>
        <v>1.5</v>
      </c>
      <c r="C57" t="s">
        <v>93</v>
      </c>
    </row>
    <row r="58" spans="1:31" ht="45" x14ac:dyDescent="0.25">
      <c r="B58" s="15"/>
      <c r="C58" s="15"/>
      <c r="D58" s="15" t="s">
        <v>3</v>
      </c>
      <c r="E58" s="15" t="s">
        <v>4</v>
      </c>
      <c r="F58" s="18" t="s">
        <v>5</v>
      </c>
      <c r="G58" s="18" t="s">
        <v>95</v>
      </c>
      <c r="H58" s="28" t="s">
        <v>10</v>
      </c>
      <c r="I58" s="28"/>
      <c r="J58" s="28"/>
      <c r="K58" s="28"/>
      <c r="L58" s="15" t="s">
        <v>11</v>
      </c>
      <c r="M58" s="15" t="s">
        <v>14</v>
      </c>
      <c r="N58" s="15" t="s">
        <v>12</v>
      </c>
      <c r="O58" s="6" t="s">
        <v>13</v>
      </c>
      <c r="P58" s="15" t="s">
        <v>47</v>
      </c>
      <c r="Q58" s="15" t="s">
        <v>49</v>
      </c>
      <c r="R58" s="15" t="s">
        <v>48</v>
      </c>
      <c r="S58" s="15" t="s">
        <v>50</v>
      </c>
      <c r="T58" s="15" t="s">
        <v>41</v>
      </c>
      <c r="U58" s="15" t="s">
        <v>78</v>
      </c>
      <c r="V58" s="15" t="s">
        <v>42</v>
      </c>
      <c r="W58" s="15" t="s">
        <v>43</v>
      </c>
      <c r="X58" s="15" t="s">
        <v>41</v>
      </c>
      <c r="Y58" s="15" t="s">
        <v>78</v>
      </c>
      <c r="Z58" s="15" t="s">
        <v>42</v>
      </c>
      <c r="AA58" s="15" t="s">
        <v>43</v>
      </c>
      <c r="AB58" s="15"/>
      <c r="AC58" s="15"/>
      <c r="AD58" s="15"/>
      <c r="AE58" s="15"/>
    </row>
    <row r="59" spans="1:31" x14ac:dyDescent="0.25">
      <c r="A59" s="3" t="s">
        <v>52</v>
      </c>
      <c r="B59" t="s">
        <v>80</v>
      </c>
      <c r="D59">
        <f>B57*0.3</f>
        <v>0.44999999999999996</v>
      </c>
      <c r="E59">
        <v>1500</v>
      </c>
      <c r="F59" s="4">
        <f>SQRT(D59*4*1000/E59/3.14159)*1000</f>
        <v>618.03898425475711</v>
      </c>
      <c r="G59" s="4">
        <v>600</v>
      </c>
      <c r="H59" s="4">
        <v>6</v>
      </c>
      <c r="I59" s="4"/>
      <c r="J59" s="4"/>
      <c r="L59" s="5">
        <f>3.14159*G59*E59*H59*7.85/1000000</f>
        <v>133.17200009999999</v>
      </c>
      <c r="M59" s="5">
        <f>G59*G59*1.22*1.22*H59*7.85*2/1000000</f>
        <v>50.474620799999997</v>
      </c>
      <c r="N59" s="5">
        <f t="shared" ref="N59:N65" si="45">(K59+L59)*0.05</f>
        <v>6.6586000050000003</v>
      </c>
      <c r="O59" s="7">
        <f>SUM(L59, M59,N59)*E2</f>
        <v>38061.044180999997</v>
      </c>
      <c r="P59" s="5">
        <f t="shared" ref="P59:P76" si="46">L59+M59+N59</f>
        <v>190.305220905</v>
      </c>
      <c r="Q59">
        <f t="shared" ref="Q59:Q64" si="47">D59*800</f>
        <v>359.99999999999994</v>
      </c>
      <c r="R59" s="17">
        <f t="shared" ref="R59:R76" si="48">P59+Q59</f>
        <v>550.30522090499994</v>
      </c>
      <c r="S59" s="17">
        <f>R59</f>
        <v>550.30522090499994</v>
      </c>
      <c r="T59" s="16" t="s">
        <v>51</v>
      </c>
      <c r="U59" s="16">
        <f>D59/20*1000</f>
        <v>22.5</v>
      </c>
      <c r="V59" s="5">
        <f>SQRT(U59*4*1000/60/3.14)</f>
        <v>21.856509473596802</v>
      </c>
      <c r="W59" s="5">
        <f>SQRT(U59*4*1000/3/60/3.14)</f>
        <v>12.618861628126719</v>
      </c>
      <c r="X59" s="16" t="s">
        <v>72</v>
      </c>
      <c r="Y59" s="21">
        <f>10000/60</f>
        <v>166.66666666666666</v>
      </c>
      <c r="Z59" s="5">
        <f>SQRT(Y59*4*1000/60/3.14)</f>
        <v>59.485884187354138</v>
      </c>
      <c r="AA59" s="5">
        <f>SQRT(Y59*4*1000/3/60/3.14)</f>
        <v>34.344191248551816</v>
      </c>
      <c r="AB59" s="5"/>
      <c r="AD59" s="5"/>
    </row>
    <row r="60" spans="1:31" x14ac:dyDescent="0.25">
      <c r="A60" t="s">
        <v>53</v>
      </c>
      <c r="B60" t="s">
        <v>81</v>
      </c>
      <c r="D60">
        <f>B57*1.2*3</f>
        <v>5.3999999999999995</v>
      </c>
      <c r="E60">
        <v>1500</v>
      </c>
      <c r="F60" s="4">
        <f t="shared" ref="F60:F64" si="49">SQRT(D60*4*1000/E60/3.14159)*1000</f>
        <v>2140.9498435750011</v>
      </c>
      <c r="G60" s="4">
        <v>2200</v>
      </c>
      <c r="H60" s="4">
        <v>4</v>
      </c>
      <c r="I60" s="4"/>
      <c r="J60" s="4"/>
      <c r="L60" s="5">
        <f>3.14159*G60*E60*H60*8.15/1000000</f>
        <v>337.97225220000001</v>
      </c>
      <c r="M60" s="5">
        <f>G60*G60*1.22*1.22*H60*8.15*2/1000000</f>
        <v>469.69141120000006</v>
      </c>
      <c r="N60" s="5">
        <f t="shared" si="45"/>
        <v>16.898612610000001</v>
      </c>
      <c r="O60" s="7">
        <f>SUM(L60, M60,N60)*E2*3*1.4</f>
        <v>692632.31184840004</v>
      </c>
      <c r="P60" s="5">
        <f t="shared" si="46"/>
        <v>824.56227601000012</v>
      </c>
      <c r="Q60">
        <f t="shared" si="47"/>
        <v>4320</v>
      </c>
      <c r="R60" s="17">
        <f t="shared" si="48"/>
        <v>5144.5622760100005</v>
      </c>
      <c r="S60" s="17">
        <f t="shared" ref="S60:S62" si="50">R60*1.2</f>
        <v>6173.4747312120007</v>
      </c>
      <c r="T60" s="16" t="s">
        <v>63</v>
      </c>
      <c r="U60" s="24">
        <f>G79</f>
        <v>1800</v>
      </c>
      <c r="V60" s="5">
        <f>SQRT(U60*4*1000/60/3.14)</f>
        <v>195.49056373532238</v>
      </c>
      <c r="W60" s="5">
        <f>SQRT(U60*4*1000/3/60/3.14)</f>
        <v>112.86652959662007</v>
      </c>
      <c r="X60" s="16" t="s">
        <v>73</v>
      </c>
      <c r="Y60" s="21">
        <f>B57*1000*1.1/60</f>
        <v>27.500000000000004</v>
      </c>
      <c r="Z60" s="5">
        <f t="shared" ref="Z60:Z72" si="51">SQRT(Y60*4*1000/60/3.14)</f>
        <v>24.163280383589601</v>
      </c>
      <c r="AA60" s="5">
        <f t="shared" ref="AA60:AA72" si="52">SQRT(Y60*4*1000/3/60/3.14)</f>
        <v>13.950676433969861</v>
      </c>
      <c r="AB60" s="5"/>
      <c r="AD60" s="5"/>
    </row>
    <row r="61" spans="1:31" x14ac:dyDescent="0.25">
      <c r="A61" t="s">
        <v>54</v>
      </c>
      <c r="B61" t="s">
        <v>82</v>
      </c>
      <c r="D61">
        <f>B57*0.3</f>
        <v>0.44999999999999996</v>
      </c>
      <c r="E61">
        <v>1200</v>
      </c>
      <c r="F61" s="4">
        <f t="shared" si="49"/>
        <v>690.98859076927943</v>
      </c>
      <c r="G61" s="4">
        <v>700</v>
      </c>
      <c r="H61" s="4">
        <v>3</v>
      </c>
      <c r="I61" s="4"/>
      <c r="J61" s="4"/>
      <c r="L61" s="5">
        <f>3.14159*G61*E61*H61*8.15/1000000</f>
        <v>64.52197541999999</v>
      </c>
      <c r="M61" s="5">
        <f>G61*G61*1.22*1.22*H61*8.15*2/1000000</f>
        <v>35.6635524</v>
      </c>
      <c r="N61" s="5">
        <f t="shared" si="45"/>
        <v>3.2260987709999998</v>
      </c>
      <c r="O61" s="7">
        <f>SUM(L61, M61,N61)*D2*2</f>
        <v>103411.62659099999</v>
      </c>
      <c r="P61" s="5">
        <f t="shared" si="46"/>
        <v>103.41162659099999</v>
      </c>
      <c r="Q61">
        <f t="shared" si="47"/>
        <v>359.99999999999994</v>
      </c>
      <c r="R61" s="17">
        <f t="shared" si="48"/>
        <v>463.41162659099996</v>
      </c>
      <c r="S61" s="17">
        <f>R61</f>
        <v>463.41162659099996</v>
      </c>
      <c r="T61" s="16" t="s">
        <v>64</v>
      </c>
      <c r="U61" s="16">
        <f>D60*1000/60/4</f>
        <v>22.499999999999996</v>
      </c>
      <c r="V61" s="5">
        <f>SQRT(U61*4*1000/60/3.14)</f>
        <v>21.856509473596798</v>
      </c>
      <c r="W61" s="5">
        <f t="shared" ref="W61:W73" si="53">SQRT(U61*4*1000/3/60/3.14)</f>
        <v>12.618861628126719</v>
      </c>
      <c r="X61" s="16" t="s">
        <v>74</v>
      </c>
      <c r="Y61" s="21">
        <f>10000/60</f>
        <v>166.66666666666666</v>
      </c>
      <c r="Z61" s="5">
        <f t="shared" si="51"/>
        <v>59.485884187354138</v>
      </c>
      <c r="AA61" s="5">
        <f t="shared" si="52"/>
        <v>34.344191248551816</v>
      </c>
      <c r="AB61" s="5"/>
      <c r="AD61" s="5"/>
    </row>
    <row r="62" spans="1:31" x14ac:dyDescent="0.25">
      <c r="A62" t="s">
        <v>55</v>
      </c>
      <c r="B62" t="s">
        <v>83</v>
      </c>
      <c r="D62">
        <f>B57*4</f>
        <v>6</v>
      </c>
      <c r="E62">
        <v>1500</v>
      </c>
      <c r="F62" s="4">
        <f t="shared" si="49"/>
        <v>2256.759287292738</v>
      </c>
      <c r="G62" s="4">
        <v>2300</v>
      </c>
      <c r="H62" s="4">
        <v>6</v>
      </c>
      <c r="I62" s="4"/>
      <c r="J62" s="4"/>
      <c r="L62" s="5">
        <f>3.14159*G62*E62*H62*8.15/1000000</f>
        <v>530.00194095000006</v>
      </c>
      <c r="M62" s="5">
        <f>G62*G62*1.22*1.22*H62*8.15*2/1000000</f>
        <v>770.04160080000008</v>
      </c>
      <c r="N62" s="5">
        <f t="shared" si="45"/>
        <v>26.500097047500006</v>
      </c>
      <c r="O62" s="7">
        <f>SUM(L62, M62,N62)*D2*1.2</f>
        <v>795926.18327850022</v>
      </c>
      <c r="P62" s="5">
        <f t="shared" si="46"/>
        <v>1326.5436387975003</v>
      </c>
      <c r="Q62">
        <f t="shared" si="47"/>
        <v>4800</v>
      </c>
      <c r="R62" s="17">
        <f t="shared" si="48"/>
        <v>6126.5436387975005</v>
      </c>
      <c r="S62" s="17">
        <f t="shared" si="50"/>
        <v>7351.8523665570001</v>
      </c>
      <c r="T62" s="16" t="s">
        <v>65</v>
      </c>
      <c r="U62" s="16">
        <f>D61*1000/15</f>
        <v>29.999999999999996</v>
      </c>
      <c r="V62" s="5">
        <f>SQRT(U62*4*1000/60/3.14)</f>
        <v>25.237723256253439</v>
      </c>
      <c r="W62" s="5">
        <f t="shared" si="53"/>
        <v>14.5710063157312</v>
      </c>
      <c r="X62" s="16" t="s">
        <v>79</v>
      </c>
      <c r="Y62" s="21">
        <f>B57*1000*1.1/60</f>
        <v>27.500000000000004</v>
      </c>
      <c r="Z62" s="5">
        <f t="shared" si="51"/>
        <v>24.163280383589601</v>
      </c>
      <c r="AA62" s="5">
        <f t="shared" si="52"/>
        <v>13.950676433969861</v>
      </c>
      <c r="AB62" s="5"/>
      <c r="AD62" s="5"/>
    </row>
    <row r="63" spans="1:31" x14ac:dyDescent="0.25">
      <c r="A63" t="s">
        <v>56</v>
      </c>
      <c r="B63" t="s">
        <v>84</v>
      </c>
      <c r="D63">
        <f>B57</f>
        <v>1.5</v>
      </c>
      <c r="E63">
        <v>1500</v>
      </c>
      <c r="F63" s="4">
        <f t="shared" si="49"/>
        <v>1128.379643646369</v>
      </c>
      <c r="G63" s="4">
        <v>1150</v>
      </c>
      <c r="H63" s="4">
        <v>6</v>
      </c>
      <c r="I63" s="4"/>
      <c r="J63" s="4"/>
      <c r="L63" s="5">
        <f>3.14159*G63*E63*H63*7.85/1000000</f>
        <v>255.24633352499998</v>
      </c>
      <c r="M63" s="5">
        <f>G63*G63*1.22*1.22*H63*7.85*2/1000000</f>
        <v>185.42412779999998</v>
      </c>
      <c r="N63" s="5">
        <f t="shared" si="45"/>
        <v>12.76231667625</v>
      </c>
      <c r="O63" s="7">
        <f>(L63+M63+N63)*E2</f>
        <v>90686.555600249994</v>
      </c>
      <c r="P63" s="5">
        <f t="shared" si="46"/>
        <v>453.43277800124997</v>
      </c>
      <c r="Q63">
        <f t="shared" si="47"/>
        <v>1200</v>
      </c>
      <c r="R63" s="17">
        <f t="shared" si="48"/>
        <v>1653.43277800125</v>
      </c>
      <c r="S63" s="17">
        <f>R63</f>
        <v>1653.43277800125</v>
      </c>
      <c r="T63" s="16" t="s">
        <v>66</v>
      </c>
      <c r="U63" s="16">
        <f>D62*1000/60/4</f>
        <v>25</v>
      </c>
      <c r="V63" s="5">
        <f t="shared" ref="V63:V73" si="54">SQRT(U63*4*1000/60/3.14)</f>
        <v>23.038783879204569</v>
      </c>
      <c r="W63" s="5">
        <f t="shared" si="53"/>
        <v>13.301448074460369</v>
      </c>
      <c r="X63" s="16" t="s">
        <v>75</v>
      </c>
      <c r="Y63" s="21">
        <f>10000/60</f>
        <v>166.66666666666666</v>
      </c>
      <c r="Z63" s="5">
        <f t="shared" si="51"/>
        <v>59.485884187354138</v>
      </c>
      <c r="AA63" s="5">
        <f t="shared" si="52"/>
        <v>34.344191248551816</v>
      </c>
      <c r="AB63" s="5"/>
      <c r="AD63" s="5"/>
    </row>
    <row r="64" spans="1:31" x14ac:dyDescent="0.25">
      <c r="A64" t="s">
        <v>102</v>
      </c>
      <c r="B64" t="s">
        <v>85</v>
      </c>
      <c r="D64">
        <f>B57*0.2</f>
        <v>0.30000000000000004</v>
      </c>
      <c r="E64">
        <v>1200</v>
      </c>
      <c r="F64" s="4">
        <f t="shared" si="49"/>
        <v>564.1898218231845</v>
      </c>
      <c r="G64" s="4">
        <v>550</v>
      </c>
      <c r="H64" s="4">
        <v>6</v>
      </c>
      <c r="I64" s="4"/>
      <c r="J64" s="4"/>
      <c r="L64" s="5">
        <f>3.14159*G64*E64*H64*7.85/1000000</f>
        <v>97.659466739999985</v>
      </c>
      <c r="M64" s="5">
        <f>G64*G64*1.22*1.22*H64*7.85*2/1000000</f>
        <v>42.412702199999998</v>
      </c>
      <c r="N64" s="5">
        <f t="shared" si="45"/>
        <v>4.8829733369999992</v>
      </c>
      <c r="O64" s="7">
        <f>(L64+M64+N64)*E2</f>
        <v>28991.028455399999</v>
      </c>
      <c r="P64" s="5">
        <f t="shared" si="46"/>
        <v>144.95514227699999</v>
      </c>
      <c r="Q64">
        <f t="shared" si="47"/>
        <v>240.00000000000003</v>
      </c>
      <c r="R64" s="17">
        <f t="shared" si="48"/>
        <v>384.95514227700005</v>
      </c>
      <c r="S64" s="17">
        <f>R64</f>
        <v>384.95514227700005</v>
      </c>
      <c r="T64" s="16" t="s">
        <v>67</v>
      </c>
      <c r="U64" s="21">
        <f>D62*1000/60/15</f>
        <v>6.666666666666667</v>
      </c>
      <c r="V64" s="5">
        <f t="shared" si="54"/>
        <v>11.897176837470827</v>
      </c>
      <c r="W64" s="5">
        <f t="shared" si="53"/>
        <v>6.8688382497103628</v>
      </c>
      <c r="X64" s="16" t="s">
        <v>44</v>
      </c>
      <c r="Y64" s="21">
        <f>10000/60</f>
        <v>166.66666666666666</v>
      </c>
      <c r="Z64" s="5">
        <f t="shared" si="51"/>
        <v>59.485884187354138</v>
      </c>
      <c r="AA64" s="5">
        <f t="shared" si="52"/>
        <v>34.344191248551816</v>
      </c>
      <c r="AB64" s="5"/>
      <c r="AD64" s="5"/>
    </row>
    <row r="65" spans="1:30" x14ac:dyDescent="0.25">
      <c r="A65" t="s">
        <v>103</v>
      </c>
      <c r="B65" t="s">
        <v>94</v>
      </c>
      <c r="D65">
        <f>B57*5.5</f>
        <v>8.25</v>
      </c>
      <c r="E65">
        <v>3600</v>
      </c>
      <c r="F65" s="4">
        <f>SQRT(D65*4*1000/E65/3/3.14159)*1000</f>
        <v>986.21212862616164</v>
      </c>
      <c r="G65" s="4">
        <v>1000</v>
      </c>
      <c r="H65" s="4">
        <v>6</v>
      </c>
      <c r="I65" s="4">
        <v>5</v>
      </c>
      <c r="J65" s="4">
        <v>4</v>
      </c>
      <c r="L65" s="5">
        <f t="shared" ref="L65:L76" si="55">3.14159*G65*E65*(H65+I65+J65)*7.85/3000000</f>
        <v>443.90666699999991</v>
      </c>
      <c r="M65" s="5">
        <f>G65*G65*1.22*1.22*H65*7.85*2/1000000</f>
        <v>140.20728</v>
      </c>
      <c r="N65" s="5">
        <f t="shared" si="45"/>
        <v>22.195333349999999</v>
      </c>
      <c r="O65" s="7">
        <f>(L65+M65+N65)*E2*1.25</f>
        <v>151577.32008749997</v>
      </c>
      <c r="P65" s="5">
        <f t="shared" si="46"/>
        <v>606.30928034999988</v>
      </c>
      <c r="Q65">
        <f>D65*800</f>
        <v>6600</v>
      </c>
      <c r="R65" s="17">
        <f t="shared" si="48"/>
        <v>7206.3092803500003</v>
      </c>
      <c r="S65" s="17">
        <f t="shared" ref="S65:S76" si="56">R65</f>
        <v>7206.3092803500003</v>
      </c>
      <c r="T65" s="16" t="s">
        <v>68</v>
      </c>
      <c r="U65" s="16">
        <f>D62*1000/60/4</f>
        <v>25</v>
      </c>
      <c r="V65" s="5">
        <f t="shared" si="54"/>
        <v>23.038783879204569</v>
      </c>
      <c r="W65" s="5">
        <f t="shared" si="53"/>
        <v>13.301448074460369</v>
      </c>
      <c r="X65" s="16" t="s">
        <v>76</v>
      </c>
      <c r="Y65" s="16">
        <f>B57*1000/5/60</f>
        <v>5</v>
      </c>
      <c r="Z65" s="5">
        <f t="shared" si="51"/>
        <v>10.303257374565543</v>
      </c>
      <c r="AA65" s="5">
        <f t="shared" si="52"/>
        <v>5.9485884187354134</v>
      </c>
      <c r="AB65" s="5"/>
      <c r="AD65" s="5"/>
    </row>
    <row r="66" spans="1:30" x14ac:dyDescent="0.25">
      <c r="A66" t="s">
        <v>104</v>
      </c>
      <c r="B66" t="s">
        <v>94</v>
      </c>
      <c r="D66">
        <f>B57*5</f>
        <v>7.5</v>
      </c>
      <c r="E66">
        <v>3400</v>
      </c>
      <c r="F66" s="4">
        <f t="shared" ref="F66:F67" si="57">SQRT(D66*4*1000/E66/3/3.14159)*1000</f>
        <v>967.57756194480282</v>
      </c>
      <c r="G66" s="4">
        <v>1000</v>
      </c>
      <c r="H66" s="4">
        <v>6</v>
      </c>
      <c r="I66" s="4">
        <v>5</v>
      </c>
      <c r="J66" s="4">
        <v>4</v>
      </c>
      <c r="L66" s="5">
        <f t="shared" ref="L66:L67" si="58">3.14159*G66*E66*(H66+I66+J66)*7.85/3000000</f>
        <v>419.24518549999993</v>
      </c>
      <c r="M66" s="5">
        <f t="shared" ref="M66:M67" si="59">G66*G66*1.22*1.22*H66*7.85*2/1000000</f>
        <v>140.20728</v>
      </c>
      <c r="N66" s="5">
        <f t="shared" ref="N66:N67" si="60">(K66+L66)*0.05</f>
        <v>20.962259274999997</v>
      </c>
      <c r="O66" s="7">
        <f>(L66+M66+N66)*E2*1.25</f>
        <v>145103.68119374997</v>
      </c>
      <c r="P66" s="5">
        <f t="shared" ref="P66:P67" si="61">L66+M66+N66</f>
        <v>580.41472477499985</v>
      </c>
      <c r="Q66">
        <f>D66*800</f>
        <v>6000</v>
      </c>
      <c r="R66" s="17">
        <f t="shared" ref="R66:R67" si="62">P66+Q66</f>
        <v>6580.4147247749997</v>
      </c>
      <c r="S66" s="17">
        <f t="shared" ref="S66:S67" si="63">R66</f>
        <v>6580.4147247749997</v>
      </c>
      <c r="T66" s="22"/>
      <c r="U66" s="22"/>
      <c r="V66" s="5"/>
      <c r="W66" s="5"/>
      <c r="X66" s="22"/>
      <c r="Y66" s="22"/>
      <c r="Z66" s="5"/>
      <c r="AA66" s="5"/>
      <c r="AB66" s="5"/>
      <c r="AD66" s="5"/>
    </row>
    <row r="67" spans="1:30" x14ac:dyDescent="0.25">
      <c r="A67" t="s">
        <v>99</v>
      </c>
      <c r="B67" t="s">
        <v>94</v>
      </c>
      <c r="D67">
        <f>B57*4.5</f>
        <v>6.75</v>
      </c>
      <c r="E67">
        <v>3200</v>
      </c>
      <c r="F67" s="4">
        <f t="shared" si="57"/>
        <v>946.17509535760087</v>
      </c>
      <c r="G67" s="4">
        <v>1000</v>
      </c>
      <c r="H67" s="4">
        <v>6</v>
      </c>
      <c r="I67" s="4">
        <v>5</v>
      </c>
      <c r="J67" s="4">
        <v>4</v>
      </c>
      <c r="L67" s="5">
        <f t="shared" si="58"/>
        <v>394.5837039999999</v>
      </c>
      <c r="M67" s="5">
        <f t="shared" si="59"/>
        <v>140.20728</v>
      </c>
      <c r="N67" s="5">
        <f t="shared" si="60"/>
        <v>19.729185199999996</v>
      </c>
      <c r="O67" s="7">
        <f>(L67+M67+N67)*E2*1.25</f>
        <v>138630.04229999994</v>
      </c>
      <c r="P67" s="5">
        <f t="shared" si="61"/>
        <v>554.52016919999983</v>
      </c>
      <c r="Q67">
        <f>D67*800</f>
        <v>5400</v>
      </c>
      <c r="R67" s="17">
        <f t="shared" si="62"/>
        <v>5954.5201692000001</v>
      </c>
      <c r="S67" s="17">
        <f t="shared" si="63"/>
        <v>5954.5201692000001</v>
      </c>
      <c r="T67" s="22"/>
      <c r="U67" s="22"/>
      <c r="V67" s="5"/>
      <c r="W67" s="5"/>
      <c r="X67" s="22"/>
      <c r="Y67" s="22"/>
      <c r="Z67" s="5"/>
      <c r="AA67" s="5"/>
      <c r="AB67" s="5"/>
      <c r="AD67" s="5"/>
    </row>
    <row r="68" spans="1:30" x14ac:dyDescent="0.25">
      <c r="A68" t="s">
        <v>100</v>
      </c>
      <c r="B68" t="s">
        <v>97</v>
      </c>
      <c r="E68">
        <v>1500</v>
      </c>
      <c r="G68" s="17" t="s">
        <v>106</v>
      </c>
      <c r="H68" s="4"/>
      <c r="I68" s="4"/>
      <c r="J68" s="4"/>
      <c r="L68" s="5"/>
      <c r="M68" s="5"/>
      <c r="N68" s="5"/>
      <c r="O68" s="7">
        <v>500000</v>
      </c>
      <c r="P68" s="5"/>
      <c r="R68" s="17"/>
      <c r="S68" s="17">
        <v>200</v>
      </c>
      <c r="T68" s="19"/>
      <c r="U68" s="19"/>
      <c r="V68" s="5"/>
      <c r="W68" s="5"/>
      <c r="X68" s="19"/>
      <c r="Y68" s="19"/>
      <c r="Z68" s="5"/>
      <c r="AA68" s="5"/>
      <c r="AB68" s="5"/>
      <c r="AD68" s="5"/>
    </row>
    <row r="69" spans="1:30" x14ac:dyDescent="0.25">
      <c r="B69" t="s">
        <v>101</v>
      </c>
      <c r="E69">
        <v>2000</v>
      </c>
      <c r="F69" s="4"/>
      <c r="G69" s="17" t="s">
        <v>106</v>
      </c>
      <c r="H69" s="4"/>
      <c r="I69" s="4"/>
      <c r="J69" s="4"/>
      <c r="L69" s="5"/>
      <c r="M69" s="5"/>
      <c r="N69" s="5"/>
      <c r="O69" s="7">
        <v>75000</v>
      </c>
      <c r="P69" s="5"/>
      <c r="R69" s="17"/>
      <c r="S69" s="17">
        <v>250</v>
      </c>
      <c r="T69" s="19"/>
      <c r="U69" s="19"/>
      <c r="V69" s="5"/>
      <c r="W69" s="5"/>
      <c r="X69" s="19"/>
      <c r="Y69" s="19"/>
      <c r="Z69" s="5"/>
      <c r="AA69" s="5"/>
      <c r="AB69" s="5"/>
      <c r="AD69" s="5"/>
    </row>
    <row r="70" spans="1:30" x14ac:dyDescent="0.25">
      <c r="A70" t="s">
        <v>105</v>
      </c>
      <c r="B70" t="s">
        <v>98</v>
      </c>
      <c r="E70">
        <v>3800</v>
      </c>
      <c r="F70" s="4"/>
      <c r="G70" s="4">
        <v>750</v>
      </c>
      <c r="H70" s="4">
        <v>3</v>
      </c>
      <c r="I70" s="4"/>
      <c r="J70" s="4"/>
      <c r="L70" s="5">
        <f t="shared" ref="L70" si="64">3.14159*G70*E70*(H70+I70+J70)*7.85/3000000</f>
        <v>70.285222274999995</v>
      </c>
      <c r="M70" s="5">
        <f t="shared" ref="M70" si="65">G70*G70*1.22*1.22*H70*7.85*2/1000000</f>
        <v>39.433297500000002</v>
      </c>
      <c r="N70" s="5">
        <f t="shared" ref="N70" si="66">(K70+L70)*0.05</f>
        <v>3.5142611137499999</v>
      </c>
      <c r="O70" s="7">
        <v>50000</v>
      </c>
      <c r="P70" s="5">
        <f t="shared" ref="P70" si="67">L70+M70+N70</f>
        <v>113.23278088875</v>
      </c>
      <c r="R70" s="17"/>
      <c r="S70" s="17">
        <v>300</v>
      </c>
      <c r="T70" s="19"/>
      <c r="U70" s="19"/>
      <c r="V70" s="5"/>
      <c r="W70" s="5"/>
      <c r="X70" s="19"/>
      <c r="Y70" s="19"/>
      <c r="Z70" s="5"/>
      <c r="AA70" s="5"/>
      <c r="AB70" s="5"/>
      <c r="AD70" s="5"/>
    </row>
    <row r="71" spans="1:30" x14ac:dyDescent="0.25">
      <c r="A71" t="s">
        <v>57</v>
      </c>
      <c r="B71" t="s">
        <v>87</v>
      </c>
      <c r="D71">
        <v>100</v>
      </c>
      <c r="E71">
        <v>4500</v>
      </c>
      <c r="F71" s="4">
        <f t="shared" ref="F71:F76" si="68">SQRT(D71*4*1000/E71/3.14159)*1000</f>
        <v>5319.2326518347154</v>
      </c>
      <c r="G71" s="4">
        <v>5500</v>
      </c>
      <c r="H71" s="4">
        <v>10</v>
      </c>
      <c r="I71" s="4">
        <v>8</v>
      </c>
      <c r="J71" s="4">
        <v>6</v>
      </c>
      <c r="K71" s="5"/>
      <c r="L71" s="5">
        <f t="shared" si="55"/>
        <v>4882.9733370000004</v>
      </c>
      <c r="M71" s="5">
        <f t="shared" ref="M71:M76" si="69">G71*G71*1.22*1.22*H71*7.85*2/1000000</f>
        <v>7068.7837</v>
      </c>
      <c r="N71" s="5">
        <f t="shared" ref="N71:N76" si="70">(K71+L71)*0.05</f>
        <v>244.14866685000004</v>
      </c>
      <c r="O71" s="7">
        <f>SUM(L71, M71,N71)*F2*4</f>
        <v>4878362.2815399999</v>
      </c>
      <c r="P71" s="5">
        <f t="shared" si="46"/>
        <v>12195.90570385</v>
      </c>
      <c r="Q71">
        <f t="shared" ref="Q71:Q76" si="71">D71*800</f>
        <v>80000</v>
      </c>
      <c r="R71" s="17">
        <f t="shared" si="48"/>
        <v>92195.905703850003</v>
      </c>
      <c r="S71" s="17">
        <f t="shared" si="56"/>
        <v>92195.905703850003</v>
      </c>
      <c r="T71" s="16" t="s">
        <v>69</v>
      </c>
      <c r="U71" s="16">
        <f>B57*1000/60</f>
        <v>25</v>
      </c>
      <c r="V71" s="5">
        <f t="shared" si="54"/>
        <v>23.038783879204569</v>
      </c>
      <c r="W71" s="5">
        <f t="shared" si="53"/>
        <v>13.301448074460369</v>
      </c>
      <c r="X71" s="16" t="s">
        <v>77</v>
      </c>
      <c r="Y71" s="21">
        <f>10000/60</f>
        <v>166.66666666666666</v>
      </c>
      <c r="Z71" s="5">
        <f t="shared" si="51"/>
        <v>59.485884187354138</v>
      </c>
      <c r="AA71" s="5">
        <f t="shared" si="52"/>
        <v>34.344191248551816</v>
      </c>
      <c r="AB71" s="5"/>
      <c r="AD71" s="5"/>
    </row>
    <row r="72" spans="1:30" x14ac:dyDescent="0.25">
      <c r="A72" t="s">
        <v>58</v>
      </c>
      <c r="B72" t="s">
        <v>88</v>
      </c>
      <c r="D72">
        <v>100</v>
      </c>
      <c r="E72">
        <v>4500</v>
      </c>
      <c r="F72" s="4">
        <f t="shared" si="68"/>
        <v>5319.2326518347154</v>
      </c>
      <c r="G72" s="4">
        <v>5500</v>
      </c>
      <c r="H72" s="4">
        <v>10</v>
      </c>
      <c r="I72" s="4">
        <v>8</v>
      </c>
      <c r="J72" s="4">
        <v>6</v>
      </c>
      <c r="K72" s="5"/>
      <c r="L72" s="5">
        <f t="shared" si="55"/>
        <v>4882.9733370000004</v>
      </c>
      <c r="M72" s="5">
        <f t="shared" si="69"/>
        <v>7068.7837</v>
      </c>
      <c r="N72" s="5">
        <f t="shared" si="70"/>
        <v>244.14866685000004</v>
      </c>
      <c r="O72" s="7">
        <f>SUM(L72, M72,N72)*F2*2*2</f>
        <v>4878362.2815399999</v>
      </c>
      <c r="P72" s="5">
        <f t="shared" si="46"/>
        <v>12195.90570385</v>
      </c>
      <c r="Q72">
        <f t="shared" si="71"/>
        <v>80000</v>
      </c>
      <c r="R72" s="17">
        <f t="shared" si="48"/>
        <v>92195.905703850003</v>
      </c>
      <c r="S72" s="17">
        <f t="shared" si="56"/>
        <v>92195.905703850003</v>
      </c>
      <c r="T72" s="16" t="s">
        <v>70</v>
      </c>
      <c r="U72" s="16">
        <f>B57*1000/60/4</f>
        <v>6.25</v>
      </c>
      <c r="V72" s="5">
        <f t="shared" si="54"/>
        <v>11.519391939602285</v>
      </c>
      <c r="W72" s="5">
        <f t="shared" si="53"/>
        <v>6.6507240372301846</v>
      </c>
      <c r="X72" s="16" t="s">
        <v>45</v>
      </c>
      <c r="Y72" s="21">
        <f>(G78/60)+ (G79*0.1)</f>
        <v>230</v>
      </c>
      <c r="Z72" s="5">
        <f t="shared" si="51"/>
        <v>69.880091415372419</v>
      </c>
      <c r="AA72" s="5">
        <f t="shared" si="52"/>
        <v>40.345289589660929</v>
      </c>
      <c r="AB72" s="5"/>
      <c r="AD72" s="5"/>
    </row>
    <row r="73" spans="1:30" x14ac:dyDescent="0.25">
      <c r="A73" t="s">
        <v>59</v>
      </c>
      <c r="B73" t="s">
        <v>89</v>
      </c>
      <c r="D73">
        <v>20</v>
      </c>
      <c r="E73">
        <v>3600</v>
      </c>
      <c r="F73" s="4">
        <f t="shared" si="68"/>
        <v>2659.6163259173577</v>
      </c>
      <c r="G73" s="4">
        <v>2500</v>
      </c>
      <c r="H73" s="4">
        <v>8</v>
      </c>
      <c r="I73" s="4">
        <v>6</v>
      </c>
      <c r="J73" s="4">
        <v>5</v>
      </c>
      <c r="K73" s="5"/>
      <c r="L73" s="5">
        <f t="shared" si="55"/>
        <v>1405.7044454999998</v>
      </c>
      <c r="M73" s="5">
        <f t="shared" si="69"/>
        <v>1168.394</v>
      </c>
      <c r="N73" s="5">
        <f t="shared" si="70"/>
        <v>70.285222274999995</v>
      </c>
      <c r="O73" s="7">
        <f>SUM(L73, M73,N73)*F2*2*2</f>
        <v>1057753.4671099999</v>
      </c>
      <c r="P73" s="5">
        <f t="shared" si="46"/>
        <v>2644.3836677749996</v>
      </c>
      <c r="Q73">
        <f t="shared" si="71"/>
        <v>16000</v>
      </c>
      <c r="R73" s="17">
        <f t="shared" si="48"/>
        <v>18644.383667775001</v>
      </c>
      <c r="S73" s="17">
        <f t="shared" si="56"/>
        <v>18644.383667775001</v>
      </c>
      <c r="T73" s="16" t="s">
        <v>71</v>
      </c>
      <c r="U73" s="16">
        <f>B57*1000/60</f>
        <v>25</v>
      </c>
      <c r="V73" s="5">
        <f t="shared" si="54"/>
        <v>23.038783879204569</v>
      </c>
      <c r="W73" s="5">
        <f t="shared" si="53"/>
        <v>13.301448074460369</v>
      </c>
      <c r="X73" s="16"/>
      <c r="Y73" s="16"/>
      <c r="Z73" s="5"/>
      <c r="AA73" s="5"/>
      <c r="AB73" s="5"/>
      <c r="AD73" s="5"/>
    </row>
    <row r="74" spans="1:30" x14ac:dyDescent="0.25">
      <c r="A74" t="s">
        <v>60</v>
      </c>
      <c r="B74" t="s">
        <v>90</v>
      </c>
      <c r="D74">
        <v>20</v>
      </c>
      <c r="E74">
        <v>3600</v>
      </c>
      <c r="F74" s="4">
        <f t="shared" si="68"/>
        <v>2659.6163259173577</v>
      </c>
      <c r="G74" s="4">
        <v>2500</v>
      </c>
      <c r="H74" s="4">
        <v>6</v>
      </c>
      <c r="I74" s="4"/>
      <c r="J74" s="4"/>
      <c r="K74" s="5"/>
      <c r="L74" s="5">
        <f t="shared" si="55"/>
        <v>443.90666699999991</v>
      </c>
      <c r="M74" s="5">
        <f t="shared" si="69"/>
        <v>876.29549999999995</v>
      </c>
      <c r="N74" s="5">
        <f t="shared" si="70"/>
        <v>22.195333349999999</v>
      </c>
      <c r="O74" s="7">
        <f>SUM(L74, M74,N74)*F2*3*2</f>
        <v>805438.50020999997</v>
      </c>
      <c r="P74" s="5">
        <f t="shared" si="46"/>
        <v>1342.39750035</v>
      </c>
      <c r="Q74">
        <f t="shared" si="71"/>
        <v>16000</v>
      </c>
      <c r="R74" s="17">
        <f t="shared" si="48"/>
        <v>17342.397500350002</v>
      </c>
      <c r="S74" s="17">
        <f t="shared" si="56"/>
        <v>17342.397500350002</v>
      </c>
      <c r="T74" s="16"/>
      <c r="U74" s="16"/>
      <c r="V74" s="5"/>
      <c r="W74" s="5"/>
      <c r="X74" s="16"/>
      <c r="Y74" s="16"/>
      <c r="Z74" s="5"/>
      <c r="AA74" s="5"/>
      <c r="AB74" s="5"/>
      <c r="AD74" s="5"/>
    </row>
    <row r="75" spans="1:30" x14ac:dyDescent="0.25">
      <c r="A75" t="s">
        <v>61</v>
      </c>
      <c r="B75" t="s">
        <v>91</v>
      </c>
      <c r="D75">
        <v>20</v>
      </c>
      <c r="E75">
        <v>3600</v>
      </c>
      <c r="F75" s="4">
        <f t="shared" si="68"/>
        <v>2659.6163259173577</v>
      </c>
      <c r="G75" s="4">
        <v>2500</v>
      </c>
      <c r="H75" s="4">
        <v>8</v>
      </c>
      <c r="I75" s="4">
        <v>6</v>
      </c>
      <c r="J75" s="4">
        <v>5</v>
      </c>
      <c r="K75" s="5"/>
      <c r="L75" s="5">
        <f t="shared" si="55"/>
        <v>1405.7044454999998</v>
      </c>
      <c r="M75" s="5">
        <f t="shared" si="69"/>
        <v>1168.394</v>
      </c>
      <c r="N75" s="5">
        <f t="shared" si="70"/>
        <v>70.285222274999995</v>
      </c>
      <c r="O75" s="7">
        <f>SUM(L75, M75,N75)*F2*2</f>
        <v>528876.73355499993</v>
      </c>
      <c r="P75" s="5">
        <f t="shared" si="46"/>
        <v>2644.3836677749996</v>
      </c>
      <c r="Q75">
        <f t="shared" si="71"/>
        <v>16000</v>
      </c>
      <c r="R75" s="17">
        <f t="shared" si="48"/>
        <v>18644.383667775001</v>
      </c>
      <c r="S75" s="17">
        <f t="shared" si="56"/>
        <v>18644.383667775001</v>
      </c>
      <c r="T75" s="16"/>
      <c r="U75" s="16"/>
      <c r="V75" s="5"/>
      <c r="W75" s="5"/>
      <c r="X75" s="16"/>
      <c r="Y75" s="16"/>
      <c r="Z75" s="5"/>
      <c r="AA75" s="5"/>
      <c r="AB75" s="5"/>
      <c r="AD75" s="5"/>
    </row>
    <row r="76" spans="1:30" x14ac:dyDescent="0.25">
      <c r="A76" t="s">
        <v>62</v>
      </c>
      <c r="B76" t="s">
        <v>92</v>
      </c>
      <c r="D76">
        <v>20</v>
      </c>
      <c r="E76">
        <v>3600</v>
      </c>
      <c r="F76" s="4">
        <f t="shared" si="68"/>
        <v>2659.6163259173577</v>
      </c>
      <c r="G76" s="4">
        <v>2500</v>
      </c>
      <c r="H76" s="4">
        <v>8</v>
      </c>
      <c r="I76" s="4">
        <v>6</v>
      </c>
      <c r="J76" s="4">
        <v>5</v>
      </c>
      <c r="K76" s="5"/>
      <c r="L76" s="5">
        <f t="shared" si="55"/>
        <v>1405.7044454999998</v>
      </c>
      <c r="M76" s="5">
        <f t="shared" si="69"/>
        <v>1168.394</v>
      </c>
      <c r="N76" s="5">
        <f t="shared" si="70"/>
        <v>70.285222274999995</v>
      </c>
      <c r="O76" s="7">
        <f>SUM(L76, M76,N76)*F2*2</f>
        <v>528876.73355499993</v>
      </c>
      <c r="P76" s="5">
        <f t="shared" si="46"/>
        <v>2644.3836677749996</v>
      </c>
      <c r="Q76">
        <f t="shared" si="71"/>
        <v>16000</v>
      </c>
      <c r="R76" s="17">
        <f t="shared" si="48"/>
        <v>18644.383667775001</v>
      </c>
      <c r="S76" s="17">
        <f t="shared" si="56"/>
        <v>18644.383667775001</v>
      </c>
      <c r="T76" s="16"/>
      <c r="U76" s="16"/>
      <c r="V76" s="5"/>
      <c r="W76" s="5"/>
      <c r="AB76" s="5"/>
      <c r="AD76" s="5"/>
    </row>
    <row r="77" spans="1:30" x14ac:dyDescent="0.25">
      <c r="F77" s="4"/>
      <c r="H77" s="5"/>
      <c r="L77" s="5"/>
      <c r="M77" s="5"/>
      <c r="N77" t="s">
        <v>15</v>
      </c>
      <c r="O77" s="7">
        <f>SUM(O59:O76)</f>
        <v>15487689.791045802</v>
      </c>
      <c r="P77" s="5"/>
      <c r="R77" s="5"/>
      <c r="V77" s="5"/>
      <c r="W77" s="5"/>
      <c r="Z77" s="5"/>
      <c r="AA77" s="5"/>
      <c r="AB77" s="5"/>
      <c r="AD77" s="5"/>
    </row>
    <row r="78" spans="1:30" x14ac:dyDescent="0.25">
      <c r="A78" t="s">
        <v>18</v>
      </c>
      <c r="E78" t="s">
        <v>19</v>
      </c>
      <c r="F78">
        <f>B57*40000/500*24</f>
        <v>2880</v>
      </c>
      <c r="G78">
        <v>3000</v>
      </c>
      <c r="H78">
        <f>(D59+D60+D62+D63+D64+D65+D66+D67)*40000/500</f>
        <v>2892</v>
      </c>
      <c r="L78" s="5"/>
      <c r="M78" s="5"/>
      <c r="N78" s="5"/>
      <c r="O78" s="7"/>
      <c r="P78" s="5"/>
      <c r="R78" s="5"/>
      <c r="V78" s="5"/>
      <c r="W78" s="5"/>
      <c r="Z78" s="5"/>
      <c r="AA78" s="5"/>
    </row>
    <row r="79" spans="1:30" x14ac:dyDescent="0.25">
      <c r="A79" t="s">
        <v>17</v>
      </c>
      <c r="E79" t="s">
        <v>20</v>
      </c>
      <c r="G79">
        <f>G78*0.2*540/3/60</f>
        <v>1800</v>
      </c>
      <c r="V79" s="5"/>
      <c r="W79" s="5"/>
      <c r="Z79" s="5"/>
      <c r="AA79" s="5"/>
    </row>
    <row r="80" spans="1:30" x14ac:dyDescent="0.25">
      <c r="E80" t="s">
        <v>108</v>
      </c>
      <c r="G80">
        <f>G78/100*7*24</f>
        <v>5040</v>
      </c>
      <c r="O80" s="7"/>
      <c r="P80" s="7"/>
      <c r="Q80" s="7"/>
      <c r="R80" s="7"/>
      <c r="S80" s="7"/>
    </row>
    <row r="81" spans="1:31" x14ac:dyDescent="0.25">
      <c r="O81" s="7"/>
      <c r="P81" s="7"/>
      <c r="Q81" s="7"/>
      <c r="R81" s="7"/>
      <c r="S81" s="7"/>
    </row>
    <row r="82" spans="1:31" x14ac:dyDescent="0.25">
      <c r="A82" s="2" t="s">
        <v>0</v>
      </c>
      <c r="O82" s="7"/>
      <c r="P82" s="7"/>
      <c r="Q82" s="7"/>
      <c r="R82" s="7"/>
      <c r="S82" s="7"/>
    </row>
    <row r="83" spans="1:31" ht="30" x14ac:dyDescent="0.25">
      <c r="A83">
        <v>10</v>
      </c>
      <c r="B83" s="2" t="s">
        <v>1</v>
      </c>
    </row>
    <row r="84" spans="1:31" x14ac:dyDescent="0.25">
      <c r="A84" s="15"/>
      <c r="B84" s="1">
        <f>A83/20</f>
        <v>0.5</v>
      </c>
      <c r="C84" t="s">
        <v>93</v>
      </c>
    </row>
    <row r="85" spans="1:31" ht="45" x14ac:dyDescent="0.25">
      <c r="B85" s="15"/>
      <c r="C85" s="15"/>
      <c r="D85" s="15" t="s">
        <v>3</v>
      </c>
      <c r="E85" s="15" t="s">
        <v>4</v>
      </c>
      <c r="F85" s="18" t="s">
        <v>5</v>
      </c>
      <c r="G85" s="18" t="s">
        <v>95</v>
      </c>
      <c r="H85" s="28" t="s">
        <v>10</v>
      </c>
      <c r="I85" s="28"/>
      <c r="J85" s="28"/>
      <c r="K85" s="28"/>
      <c r="L85" s="15" t="s">
        <v>11</v>
      </c>
      <c r="M85" s="15" t="s">
        <v>14</v>
      </c>
      <c r="N85" s="15" t="s">
        <v>12</v>
      </c>
      <c r="O85" s="6" t="s">
        <v>13</v>
      </c>
      <c r="P85" s="15" t="s">
        <v>47</v>
      </c>
      <c r="Q85" s="15" t="s">
        <v>49</v>
      </c>
      <c r="R85" s="15" t="s">
        <v>48</v>
      </c>
      <c r="S85" s="15" t="s">
        <v>50</v>
      </c>
      <c r="T85" s="15" t="s">
        <v>41</v>
      </c>
      <c r="U85" s="15" t="s">
        <v>78</v>
      </c>
      <c r="V85" s="15" t="s">
        <v>42</v>
      </c>
      <c r="W85" s="15" t="s">
        <v>43</v>
      </c>
      <c r="X85" s="15" t="s">
        <v>41</v>
      </c>
      <c r="Y85" s="15" t="s">
        <v>78</v>
      </c>
      <c r="Z85" s="15" t="s">
        <v>42</v>
      </c>
      <c r="AA85" s="15" t="s">
        <v>43</v>
      </c>
      <c r="AB85" s="15"/>
      <c r="AC85" s="15"/>
      <c r="AD85" s="15"/>
      <c r="AE85" s="15"/>
    </row>
    <row r="86" spans="1:31" x14ac:dyDescent="0.25">
      <c r="A86" s="3" t="s">
        <v>52</v>
      </c>
      <c r="B86" t="s">
        <v>80</v>
      </c>
      <c r="D86">
        <f>B84*0.3</f>
        <v>0.15</v>
      </c>
      <c r="E86">
        <v>1200</v>
      </c>
      <c r="F86" s="4">
        <f>SQRT(D86*4*1000/E86/3.14159)*1000</f>
        <v>398.94244888760369</v>
      </c>
      <c r="G86" s="4">
        <v>400</v>
      </c>
      <c r="H86" s="4">
        <v>6</v>
      </c>
      <c r="I86" s="4"/>
      <c r="J86" s="4"/>
      <c r="L86" s="5">
        <f>3.14159*G86*E86*H86*7.85/1000000</f>
        <v>71.025066719999984</v>
      </c>
      <c r="M86" s="5">
        <f>G86*G86*1.22*1.22*H86*7.85*2/1000000</f>
        <v>22.4331648</v>
      </c>
      <c r="N86" s="5">
        <f t="shared" ref="N86:N92" si="72">(K86+L86)*0.05</f>
        <v>3.5512533359999994</v>
      </c>
      <c r="O86" s="7">
        <f>SUM(L86, M86,N86)*E2</f>
        <v>19401.896971199996</v>
      </c>
      <c r="P86" s="5">
        <f t="shared" ref="P86:P103" si="73">L86+M86+N86</f>
        <v>97.009484855999986</v>
      </c>
      <c r="Q86">
        <f t="shared" ref="Q86:Q91" si="74">D86*800</f>
        <v>120</v>
      </c>
      <c r="R86" s="17">
        <f t="shared" ref="R86:R103" si="75">P86+Q86</f>
        <v>217.00948485599997</v>
      </c>
      <c r="S86" s="17">
        <f>R86</f>
        <v>217.00948485599997</v>
      </c>
      <c r="T86" s="21" t="s">
        <v>51</v>
      </c>
      <c r="U86" s="16">
        <f>D86/20*1000</f>
        <v>7.5</v>
      </c>
      <c r="V86" s="5">
        <f>SQRT(U86*4*1000/60/3.14)</f>
        <v>12.618861628126719</v>
      </c>
      <c r="W86" s="5">
        <f>SQRT(U86*4*1000/3/60/3.14)</f>
        <v>7.2855031578656</v>
      </c>
      <c r="X86" s="16" t="s">
        <v>72</v>
      </c>
      <c r="Y86" s="21">
        <f>10000/60</f>
        <v>166.66666666666666</v>
      </c>
      <c r="Z86" s="5">
        <f>SQRT(Y86*4*1000/60/3.14)</f>
        <v>59.485884187354138</v>
      </c>
      <c r="AA86" s="5">
        <f>SQRT(Y86*4*1000/3/60/3.14)</f>
        <v>34.344191248551816</v>
      </c>
      <c r="AB86" s="5"/>
      <c r="AD86" s="5"/>
    </row>
    <row r="87" spans="1:31" x14ac:dyDescent="0.25">
      <c r="A87" t="s">
        <v>53</v>
      </c>
      <c r="B87" t="s">
        <v>81</v>
      </c>
      <c r="D87">
        <f>B84*1.2*3</f>
        <v>1.7999999999999998</v>
      </c>
      <c r="E87">
        <v>1200</v>
      </c>
      <c r="F87" s="4">
        <f t="shared" ref="F87:F103" si="76">SQRT(D87*4*1000/E87/3.14159)*1000</f>
        <v>1381.9771815385589</v>
      </c>
      <c r="G87" s="4">
        <v>800</v>
      </c>
      <c r="H87" s="4">
        <v>4</v>
      </c>
      <c r="I87" s="4"/>
      <c r="J87" s="4"/>
      <c r="L87" s="5">
        <f>3.14159*G87*E87*H87*8.15/1000000</f>
        <v>98.319200640000005</v>
      </c>
      <c r="M87" s="5">
        <f>G87*G87*1.22*1.22*H87*8.15*2/1000000</f>
        <v>62.107955200000006</v>
      </c>
      <c r="N87" s="5">
        <f t="shared" si="72"/>
        <v>4.915960032000001</v>
      </c>
      <c r="O87" s="7">
        <f>SUM(L87, M87,N87)*E2*2*1.4</f>
        <v>92592.144888319977</v>
      </c>
      <c r="P87" s="5">
        <f t="shared" si="73"/>
        <v>165.343115872</v>
      </c>
      <c r="Q87">
        <f t="shared" si="74"/>
        <v>1439.9999999999998</v>
      </c>
      <c r="R87" s="17">
        <f t="shared" si="75"/>
        <v>1605.3431158719998</v>
      </c>
      <c r="S87" s="17">
        <f>R87</f>
        <v>1605.3431158719998</v>
      </c>
      <c r="T87" s="16" t="s">
        <v>63</v>
      </c>
      <c r="U87" s="24">
        <f>G106</f>
        <v>60</v>
      </c>
      <c r="V87" s="5">
        <f>SQRT(U87*4*1000/60/3.14)</f>
        <v>35.691530512412484</v>
      </c>
      <c r="W87" s="5">
        <f>SQRT(U87*4*1000/3/60/3.14)</f>
        <v>20.606514749131087</v>
      </c>
      <c r="X87" s="16" t="s">
        <v>73</v>
      </c>
      <c r="Y87" s="21">
        <f>B84*1000*1.1/60</f>
        <v>9.1666666666666661</v>
      </c>
      <c r="Z87" s="5">
        <f t="shared" ref="Z87:Z99" si="77">SQRT(Y87*4*1000/60/3.14)</f>
        <v>13.950676433969859</v>
      </c>
      <c r="AA87" s="5">
        <f t="shared" ref="AA87:AA99" si="78">SQRT(Y87*4*1000/3/60/3.14)</f>
        <v>8.0544267945298671</v>
      </c>
      <c r="AB87" s="5"/>
      <c r="AD87" s="5"/>
    </row>
    <row r="88" spans="1:31" x14ac:dyDescent="0.25">
      <c r="A88" t="s">
        <v>54</v>
      </c>
      <c r="B88" t="s">
        <v>82</v>
      </c>
      <c r="D88">
        <f>B84*0.3</f>
        <v>0.15</v>
      </c>
      <c r="E88">
        <v>600</v>
      </c>
      <c r="F88" s="4">
        <f t="shared" si="76"/>
        <v>564.1898218231845</v>
      </c>
      <c r="G88" s="4">
        <v>550</v>
      </c>
      <c r="H88" s="4">
        <v>3</v>
      </c>
      <c r="I88" s="4"/>
      <c r="J88" s="4"/>
      <c r="L88" s="5">
        <f>3.14159*G88*E88*H88*8.15/1000000</f>
        <v>25.347918914999997</v>
      </c>
      <c r="M88" s="5">
        <f>G88*G88*1.22*1.22*H88*8.15*2/1000000</f>
        <v>22.016784900000001</v>
      </c>
      <c r="N88" s="5">
        <f t="shared" si="72"/>
        <v>1.2673959457499999</v>
      </c>
      <c r="O88" s="7">
        <f>SUM(L88, M88,N88)*D2*2</f>
        <v>48632.099760750003</v>
      </c>
      <c r="P88" s="5">
        <f t="shared" si="73"/>
        <v>48.632099760750002</v>
      </c>
      <c r="Q88">
        <f t="shared" si="74"/>
        <v>120</v>
      </c>
      <c r="R88" s="17">
        <f t="shared" si="75"/>
        <v>168.63209976075001</v>
      </c>
      <c r="S88" s="17">
        <f>R88</f>
        <v>168.63209976075001</v>
      </c>
      <c r="T88" s="16" t="s">
        <v>64</v>
      </c>
      <c r="U88" s="16">
        <f>D87*1000/60</f>
        <v>29.999999999999996</v>
      </c>
      <c r="V88" s="5">
        <f>SQRT(U88*4*1000/60/3.14)</f>
        <v>25.237723256253439</v>
      </c>
      <c r="W88" s="5">
        <f t="shared" ref="W88:W100" si="79">SQRT(U88*4*1000/3/60/3.14)</f>
        <v>14.5710063157312</v>
      </c>
      <c r="X88" s="16" t="s">
        <v>74</v>
      </c>
      <c r="Y88" s="21">
        <f>10000/60</f>
        <v>166.66666666666666</v>
      </c>
      <c r="Z88" s="5">
        <f t="shared" si="77"/>
        <v>59.485884187354138</v>
      </c>
      <c r="AA88" s="5">
        <f t="shared" si="78"/>
        <v>34.344191248551816</v>
      </c>
      <c r="AB88" s="5"/>
      <c r="AD88" s="5"/>
    </row>
    <row r="89" spans="1:31" x14ac:dyDescent="0.25">
      <c r="A89" t="s">
        <v>55</v>
      </c>
      <c r="B89" t="s">
        <v>83</v>
      </c>
      <c r="D89">
        <f>B84*4</f>
        <v>2</v>
      </c>
      <c r="E89">
        <v>1200</v>
      </c>
      <c r="F89" s="4">
        <f t="shared" si="76"/>
        <v>1456.7318560139486</v>
      </c>
      <c r="G89" s="4">
        <v>1500</v>
      </c>
      <c r="H89" s="4">
        <v>6</v>
      </c>
      <c r="I89" s="4"/>
      <c r="J89" s="4"/>
      <c r="L89" s="5">
        <f>3.14159*G89*E89*H89*8.15/1000000</f>
        <v>276.52275180000004</v>
      </c>
      <c r="M89" s="5">
        <f>G89*G89*1.22*1.22*H89*8.15*2/1000000</f>
        <v>327.52242000000001</v>
      </c>
      <c r="N89" s="5">
        <f t="shared" si="72"/>
        <v>13.826137590000002</v>
      </c>
      <c r="O89" s="7">
        <f>SUM(L89, M89,N89)*D2</f>
        <v>308935.65469500003</v>
      </c>
      <c r="P89" s="5">
        <f t="shared" si="73"/>
        <v>617.87130939000008</v>
      </c>
      <c r="Q89">
        <f t="shared" si="74"/>
        <v>1600</v>
      </c>
      <c r="R89" s="17">
        <f t="shared" si="75"/>
        <v>2217.8713093900001</v>
      </c>
      <c r="S89" s="17">
        <f t="shared" ref="S89" si="80">R89*1.2</f>
        <v>2661.4455712680001</v>
      </c>
      <c r="T89" s="16" t="s">
        <v>65</v>
      </c>
      <c r="U89" s="16">
        <f>D88*1000/15</f>
        <v>10</v>
      </c>
      <c r="V89" s="5">
        <f>SQRT(U89*4*1000/60/3.14)</f>
        <v>14.5710063157312</v>
      </c>
      <c r="W89" s="5">
        <f t="shared" si="79"/>
        <v>8.4125744187511451</v>
      </c>
      <c r="X89" s="16" t="s">
        <v>79</v>
      </c>
      <c r="Y89" s="21">
        <f>B84*1000*1.1/60</f>
        <v>9.1666666666666661</v>
      </c>
      <c r="Z89" s="5">
        <f t="shared" si="77"/>
        <v>13.950676433969859</v>
      </c>
      <c r="AA89" s="5">
        <f t="shared" si="78"/>
        <v>8.0544267945298671</v>
      </c>
      <c r="AB89" s="5"/>
      <c r="AD89" s="5"/>
    </row>
    <row r="90" spans="1:31" x14ac:dyDescent="0.25">
      <c r="A90" t="s">
        <v>56</v>
      </c>
      <c r="B90" t="s">
        <v>84</v>
      </c>
      <c r="D90">
        <f>B84</f>
        <v>0.5</v>
      </c>
      <c r="E90">
        <v>1200</v>
      </c>
      <c r="F90" s="4">
        <f t="shared" si="76"/>
        <v>728.36592800697429</v>
      </c>
      <c r="G90" s="4">
        <v>800</v>
      </c>
      <c r="H90" s="4">
        <v>6</v>
      </c>
      <c r="I90" s="4"/>
      <c r="J90" s="4"/>
      <c r="L90" s="5">
        <f>3.14159*G90*E90*H90*7.85/1000000</f>
        <v>142.05013343999997</v>
      </c>
      <c r="M90" s="5">
        <f>G90*G90*1.22*1.22*H90*7.85*2/1000000</f>
        <v>89.732659200000001</v>
      </c>
      <c r="N90" s="5">
        <f t="shared" si="72"/>
        <v>7.1025066719999987</v>
      </c>
      <c r="O90" s="7">
        <f>(L90+M90+N90)*E2*1.2</f>
        <v>57332.471834879994</v>
      </c>
      <c r="P90" s="5">
        <f t="shared" si="73"/>
        <v>238.88529931199997</v>
      </c>
      <c r="Q90">
        <f t="shared" si="74"/>
        <v>400</v>
      </c>
      <c r="R90" s="17">
        <f t="shared" si="75"/>
        <v>638.88529931199992</v>
      </c>
      <c r="S90" s="17">
        <f>R90</f>
        <v>638.88529931199992</v>
      </c>
      <c r="T90" s="16" t="s">
        <v>66</v>
      </c>
      <c r="U90" s="21">
        <f>D89*1000/60/4</f>
        <v>8.3333333333333339</v>
      </c>
      <c r="V90" s="5">
        <f t="shared" ref="V90:V100" si="81">SQRT(U90*4*1000/60/3.14)</f>
        <v>13.301448074460369</v>
      </c>
      <c r="W90" s="5">
        <f t="shared" si="79"/>
        <v>7.6795946264015233</v>
      </c>
      <c r="X90" s="16" t="s">
        <v>75</v>
      </c>
      <c r="Y90" s="21">
        <f>10000/60</f>
        <v>166.66666666666666</v>
      </c>
      <c r="Z90" s="5">
        <f t="shared" si="77"/>
        <v>59.485884187354138</v>
      </c>
      <c r="AA90" s="5">
        <f t="shared" si="78"/>
        <v>34.344191248551816</v>
      </c>
      <c r="AB90" s="5"/>
      <c r="AD90" s="5"/>
    </row>
    <row r="91" spans="1:31" x14ac:dyDescent="0.25">
      <c r="A91" t="s">
        <v>102</v>
      </c>
      <c r="B91" t="s">
        <v>85</v>
      </c>
      <c r="D91">
        <f>B84*0.2</f>
        <v>0.1</v>
      </c>
      <c r="E91">
        <v>1200</v>
      </c>
      <c r="F91" s="4">
        <f t="shared" si="76"/>
        <v>325.73514550366252</v>
      </c>
      <c r="G91" s="4">
        <v>350</v>
      </c>
      <c r="H91" s="4">
        <v>6</v>
      </c>
      <c r="I91" s="4"/>
      <c r="J91" s="4"/>
      <c r="L91" s="5">
        <f>3.14159*G91*E91*H91*7.85/1000000</f>
        <v>62.146933379999986</v>
      </c>
      <c r="M91" s="5">
        <f>G91*G91*1.22*1.22*H91*7.85*2/1000000</f>
        <v>17.1753918</v>
      </c>
      <c r="N91" s="5">
        <f t="shared" si="72"/>
        <v>3.1073466689999996</v>
      </c>
      <c r="O91" s="7">
        <f>(L91+M91+N91)*E2</f>
        <v>16485.934369799994</v>
      </c>
      <c r="P91" s="5">
        <f t="shared" si="73"/>
        <v>82.429671848999973</v>
      </c>
      <c r="Q91">
        <f t="shared" si="74"/>
        <v>80</v>
      </c>
      <c r="R91" s="17">
        <f t="shared" si="75"/>
        <v>162.42967184899999</v>
      </c>
      <c r="S91" s="17">
        <f>R91</f>
        <v>162.42967184899999</v>
      </c>
      <c r="T91" s="16" t="s">
        <v>67</v>
      </c>
      <c r="U91" s="21">
        <f>D89*1000/60/15</f>
        <v>2.2222222222222223</v>
      </c>
      <c r="V91" s="5">
        <f t="shared" si="81"/>
        <v>6.8688382497103628</v>
      </c>
      <c r="W91" s="5">
        <f t="shared" si="79"/>
        <v>3.9657256124902758</v>
      </c>
      <c r="X91" s="16" t="s">
        <v>44</v>
      </c>
      <c r="Y91" s="21">
        <f>10000/60</f>
        <v>166.66666666666666</v>
      </c>
      <c r="Z91" s="5">
        <f t="shared" si="77"/>
        <v>59.485884187354138</v>
      </c>
      <c r="AA91" s="5">
        <f t="shared" si="78"/>
        <v>34.344191248551816</v>
      </c>
      <c r="AB91" s="5"/>
      <c r="AD91" s="5"/>
    </row>
    <row r="92" spans="1:31" x14ac:dyDescent="0.25">
      <c r="A92" t="s">
        <v>103</v>
      </c>
      <c r="B92" t="s">
        <v>94</v>
      </c>
      <c r="D92">
        <f>B84*5.5</f>
        <v>2.75</v>
      </c>
      <c r="E92">
        <v>2400</v>
      </c>
      <c r="F92" s="4">
        <f>SQRT(D92*4*1000/E92/3/3.14159)*1000</f>
        <v>697.35728383997855</v>
      </c>
      <c r="G92" s="4">
        <v>700</v>
      </c>
      <c r="H92" s="4">
        <v>6</v>
      </c>
      <c r="I92" s="4">
        <v>5</v>
      </c>
      <c r="J92" s="4"/>
      <c r="L92" s="5">
        <f>3.14159*G92*E92*(H92+I92+J92)*7.85/3000000</f>
        <v>151.91472603999995</v>
      </c>
      <c r="M92" s="5">
        <f>G92*G92*1.22*1.22*H92*7.85*2/1000000</f>
        <v>68.7015672</v>
      </c>
      <c r="N92" s="5">
        <f t="shared" si="72"/>
        <v>7.5957363019999979</v>
      </c>
      <c r="O92" s="7">
        <f>(L92+M92+N92)*E2*1.5</f>
        <v>68463.608862599984</v>
      </c>
      <c r="P92" s="5">
        <f>L92+M92+N92</f>
        <v>228.21202954199995</v>
      </c>
      <c r="Q92" s="17">
        <f>D92*800</f>
        <v>2200</v>
      </c>
      <c r="R92" s="17">
        <f t="shared" si="75"/>
        <v>2428.212029542</v>
      </c>
      <c r="S92" s="17">
        <f t="shared" ref="S92:S103" si="82">R92</f>
        <v>2428.212029542</v>
      </c>
      <c r="T92" s="16" t="s">
        <v>68</v>
      </c>
      <c r="U92" s="21">
        <f>D89*1000/60/4</f>
        <v>8.3333333333333339</v>
      </c>
      <c r="V92" s="5">
        <f t="shared" si="81"/>
        <v>13.301448074460369</v>
      </c>
      <c r="W92" s="5">
        <f t="shared" si="79"/>
        <v>7.6795946264015233</v>
      </c>
      <c r="X92" s="16" t="s">
        <v>76</v>
      </c>
      <c r="Y92" s="21">
        <f>B84*1000/5/60</f>
        <v>1.6666666666666667</v>
      </c>
      <c r="Z92" s="5">
        <f t="shared" si="77"/>
        <v>5.9485884187354134</v>
      </c>
      <c r="AA92" s="5">
        <f t="shared" si="78"/>
        <v>3.4344191248551814</v>
      </c>
      <c r="AB92" s="5"/>
      <c r="AD92" s="5"/>
    </row>
    <row r="93" spans="1:31" x14ac:dyDescent="0.25">
      <c r="A93" t="s">
        <v>104</v>
      </c>
      <c r="B93" t="s">
        <v>94</v>
      </c>
      <c r="D93">
        <f>B84*5</f>
        <v>2.5</v>
      </c>
      <c r="E93">
        <v>2300</v>
      </c>
      <c r="F93" s="4">
        <f t="shared" ref="F93:F94" si="83">SQRT(D93*4*1000/E93/3/3.14159)*1000</f>
        <v>679.20473002492179</v>
      </c>
      <c r="G93" s="4">
        <v>700</v>
      </c>
      <c r="H93" s="4">
        <v>6</v>
      </c>
      <c r="I93" s="4">
        <v>5</v>
      </c>
      <c r="J93" s="4"/>
      <c r="L93" s="5">
        <f t="shared" ref="L93:L94" si="84">3.14159*G93*E93*(H93+I93+J93)*7.85/3000000</f>
        <v>145.5849457883333</v>
      </c>
      <c r="M93" s="5">
        <f t="shared" ref="M93:M94" si="85">G93*G93*1.22*1.22*H93*7.85*2/1000000</f>
        <v>68.7015672</v>
      </c>
      <c r="N93" s="5">
        <f t="shared" ref="N93:N94" si="86">(K93+L93)*0.05</f>
        <v>7.2792472894166655</v>
      </c>
      <c r="O93" s="7">
        <f>(L93+M93+N93)*E2*1.5</f>
        <v>66469.728083324997</v>
      </c>
      <c r="P93" s="5">
        <f t="shared" ref="P93:P94" si="87">L93+M93+N93</f>
        <v>221.56576027774997</v>
      </c>
      <c r="Q93" s="17">
        <f>D93*800</f>
        <v>2000</v>
      </c>
      <c r="R93" s="17">
        <f t="shared" ref="R93:R94" si="88">P93+Q93</f>
        <v>2221.5657602777501</v>
      </c>
      <c r="S93" s="17">
        <f t="shared" ref="S93:S94" si="89">R93</f>
        <v>2221.5657602777501</v>
      </c>
      <c r="T93" s="22"/>
      <c r="U93" s="22"/>
      <c r="V93" s="5"/>
      <c r="W93" s="5"/>
      <c r="X93" s="22"/>
      <c r="Y93" s="22"/>
      <c r="Z93" s="5"/>
      <c r="AA93" s="5"/>
      <c r="AB93" s="5"/>
      <c r="AD93" s="5"/>
    </row>
    <row r="94" spans="1:31" x14ac:dyDescent="0.25">
      <c r="A94" t="s">
        <v>99</v>
      </c>
      <c r="B94" t="s">
        <v>94</v>
      </c>
      <c r="D94">
        <f>B84*4.5</f>
        <v>2.25</v>
      </c>
      <c r="E94">
        <v>2200</v>
      </c>
      <c r="F94" s="4">
        <f t="shared" si="83"/>
        <v>658.83177089404023</v>
      </c>
      <c r="G94" s="4">
        <v>700</v>
      </c>
      <c r="H94" s="4">
        <v>6</v>
      </c>
      <c r="I94" s="4">
        <v>5</v>
      </c>
      <c r="J94" s="4"/>
      <c r="L94" s="5">
        <f t="shared" si="84"/>
        <v>139.25516553666665</v>
      </c>
      <c r="M94" s="5">
        <f t="shared" si="85"/>
        <v>68.7015672</v>
      </c>
      <c r="N94" s="5">
        <f t="shared" si="86"/>
        <v>6.9627582768333331</v>
      </c>
      <c r="O94" s="7">
        <f>(L94+M94+N94)*E2*1.5</f>
        <v>64475.847304050003</v>
      </c>
      <c r="P94" s="5">
        <f t="shared" si="87"/>
        <v>214.91949101349999</v>
      </c>
      <c r="Q94" s="17">
        <f>D94*800</f>
        <v>1800</v>
      </c>
      <c r="R94" s="17">
        <f t="shared" si="88"/>
        <v>2014.9194910135</v>
      </c>
      <c r="S94" s="17">
        <f t="shared" si="89"/>
        <v>2014.9194910135</v>
      </c>
      <c r="T94" s="22"/>
      <c r="U94" s="22"/>
      <c r="V94" s="5"/>
      <c r="W94" s="5"/>
      <c r="X94" s="22"/>
      <c r="Y94" s="22"/>
      <c r="Z94" s="5"/>
      <c r="AA94" s="5"/>
      <c r="AB94" s="5"/>
      <c r="AD94" s="5"/>
    </row>
    <row r="95" spans="1:31" x14ac:dyDescent="0.25">
      <c r="A95" t="s">
        <v>100</v>
      </c>
      <c r="B95" t="s">
        <v>97</v>
      </c>
      <c r="E95">
        <v>1000</v>
      </c>
      <c r="F95" s="4"/>
      <c r="G95" s="17" t="s">
        <v>106</v>
      </c>
      <c r="H95" s="4"/>
      <c r="I95" s="4"/>
      <c r="J95" s="4"/>
      <c r="L95" s="5"/>
      <c r="M95" s="5"/>
      <c r="N95" s="5"/>
      <c r="O95" s="7">
        <v>500000</v>
      </c>
      <c r="P95" s="5"/>
      <c r="R95" s="17"/>
      <c r="S95" s="17">
        <v>150</v>
      </c>
      <c r="T95" s="19"/>
      <c r="U95" s="19"/>
      <c r="V95" s="5"/>
      <c r="W95" s="5"/>
      <c r="X95" s="19"/>
      <c r="Y95" s="19"/>
      <c r="Z95" s="5"/>
      <c r="AA95" s="5"/>
      <c r="AB95" s="5"/>
      <c r="AD95" s="5"/>
    </row>
    <row r="96" spans="1:31" x14ac:dyDescent="0.25">
      <c r="B96" t="s">
        <v>101</v>
      </c>
      <c r="E96">
        <v>1500</v>
      </c>
      <c r="F96" s="4"/>
      <c r="G96" s="17" t="s">
        <v>106</v>
      </c>
      <c r="H96" s="4"/>
      <c r="I96" s="4"/>
      <c r="J96" s="4"/>
      <c r="L96" s="5"/>
      <c r="M96" s="5"/>
      <c r="N96" s="5"/>
      <c r="O96" s="7">
        <v>75000</v>
      </c>
      <c r="P96" s="5"/>
      <c r="R96" s="17"/>
      <c r="S96" s="17">
        <v>200</v>
      </c>
      <c r="T96" s="20"/>
      <c r="U96" s="20"/>
      <c r="V96" s="5"/>
      <c r="W96" s="5"/>
      <c r="X96" s="20"/>
      <c r="Y96" s="20"/>
      <c r="Z96" s="5"/>
      <c r="AA96" s="5"/>
      <c r="AB96" s="5"/>
      <c r="AD96" s="5"/>
    </row>
    <row r="97" spans="1:31" x14ac:dyDescent="0.25">
      <c r="A97" t="s">
        <v>105</v>
      </c>
      <c r="B97" t="s">
        <v>98</v>
      </c>
      <c r="E97">
        <v>2100</v>
      </c>
      <c r="F97" s="4"/>
      <c r="G97" s="4">
        <v>600</v>
      </c>
      <c r="H97" s="4">
        <v>3</v>
      </c>
      <c r="I97" s="4"/>
      <c r="J97" s="4"/>
      <c r="L97" s="5"/>
      <c r="M97" s="5"/>
      <c r="N97" s="5"/>
      <c r="O97" s="7">
        <v>50000</v>
      </c>
      <c r="P97" s="5"/>
      <c r="R97" s="17"/>
      <c r="S97" s="17">
        <v>300</v>
      </c>
      <c r="T97" s="19"/>
      <c r="U97" s="19"/>
      <c r="V97" s="5"/>
      <c r="W97" s="5"/>
      <c r="X97" s="19"/>
      <c r="Y97" s="19"/>
      <c r="Z97" s="5"/>
      <c r="AA97" s="5"/>
      <c r="AB97" s="5"/>
      <c r="AD97" s="5"/>
    </row>
    <row r="98" spans="1:31" x14ac:dyDescent="0.25">
      <c r="A98" t="s">
        <v>86</v>
      </c>
      <c r="B98" t="s">
        <v>87</v>
      </c>
      <c r="D98">
        <v>100</v>
      </c>
      <c r="E98">
        <v>4500</v>
      </c>
      <c r="F98" s="4">
        <f t="shared" si="76"/>
        <v>5319.2326518347154</v>
      </c>
      <c r="G98" s="4">
        <v>5500</v>
      </c>
      <c r="H98" s="4">
        <v>10</v>
      </c>
      <c r="I98" s="4">
        <v>8</v>
      </c>
      <c r="J98" s="4">
        <v>6</v>
      </c>
      <c r="K98" s="5"/>
      <c r="L98" s="5">
        <f t="shared" ref="L98:L99" si="90">3.14159*G98*E98*(H98+I98+J98)*7.85/3000000</f>
        <v>4882.9733370000004</v>
      </c>
      <c r="M98" s="5">
        <f t="shared" ref="M98:M103" si="91">G98*G98*1.22*1.22*H98*7.85*2/1000000</f>
        <v>7068.7837</v>
      </c>
      <c r="N98" s="5">
        <f t="shared" ref="N98:N103" si="92">(K98+L98)*0.05</f>
        <v>244.14866685000004</v>
      </c>
      <c r="O98" s="7">
        <f>SUM(L98, M98,N98)*F2*2*2</f>
        <v>4878362.2815399999</v>
      </c>
      <c r="P98" s="5">
        <f t="shared" si="73"/>
        <v>12195.90570385</v>
      </c>
      <c r="Q98">
        <f t="shared" ref="Q98:Q103" si="93">D98*800</f>
        <v>80000</v>
      </c>
      <c r="R98" s="17">
        <f t="shared" si="75"/>
        <v>92195.905703850003</v>
      </c>
      <c r="S98" s="17">
        <f t="shared" si="82"/>
        <v>92195.905703850003</v>
      </c>
      <c r="T98" s="16" t="s">
        <v>69</v>
      </c>
      <c r="U98" s="21">
        <f>B84*1000/60</f>
        <v>8.3333333333333339</v>
      </c>
      <c r="V98" s="5">
        <f t="shared" si="81"/>
        <v>13.301448074460369</v>
      </c>
      <c r="W98" s="5">
        <f t="shared" si="79"/>
        <v>7.6795946264015233</v>
      </c>
      <c r="X98" s="16" t="s">
        <v>77</v>
      </c>
      <c r="Y98" s="21">
        <f>10000/60</f>
        <v>166.66666666666666</v>
      </c>
      <c r="Z98" s="5">
        <f t="shared" si="77"/>
        <v>59.485884187354138</v>
      </c>
      <c r="AA98" s="5">
        <f t="shared" si="78"/>
        <v>34.344191248551816</v>
      </c>
      <c r="AB98" s="5"/>
      <c r="AD98" s="5"/>
    </row>
    <row r="99" spans="1:31" x14ac:dyDescent="0.25">
      <c r="A99" t="s">
        <v>58</v>
      </c>
      <c r="B99" t="s">
        <v>88</v>
      </c>
      <c r="D99">
        <v>100</v>
      </c>
      <c r="E99">
        <v>4500</v>
      </c>
      <c r="F99" s="4">
        <f t="shared" si="76"/>
        <v>5319.2326518347154</v>
      </c>
      <c r="G99" s="4">
        <v>5500</v>
      </c>
      <c r="H99" s="4">
        <v>10</v>
      </c>
      <c r="I99" s="4">
        <v>8</v>
      </c>
      <c r="J99" s="4">
        <v>6</v>
      </c>
      <c r="K99" s="5"/>
      <c r="L99" s="5">
        <f t="shared" si="90"/>
        <v>4882.9733370000004</v>
      </c>
      <c r="M99" s="5">
        <f t="shared" si="91"/>
        <v>7068.7837</v>
      </c>
      <c r="N99" s="5">
        <f t="shared" si="92"/>
        <v>244.14866685000004</v>
      </c>
      <c r="O99" s="7">
        <f>SUM(L99, M99,N99)*F2*2*2</f>
        <v>4878362.2815399999</v>
      </c>
      <c r="P99" s="5">
        <f t="shared" si="73"/>
        <v>12195.90570385</v>
      </c>
      <c r="Q99">
        <f t="shared" si="93"/>
        <v>80000</v>
      </c>
      <c r="R99" s="17">
        <f t="shared" si="75"/>
        <v>92195.905703850003</v>
      </c>
      <c r="S99" s="17">
        <f t="shared" si="82"/>
        <v>92195.905703850003</v>
      </c>
      <c r="T99" s="16" t="s">
        <v>70</v>
      </c>
      <c r="U99" s="21">
        <f>B84*1000/60/4</f>
        <v>2.0833333333333335</v>
      </c>
      <c r="V99" s="5">
        <f t="shared" si="81"/>
        <v>6.6507240372301846</v>
      </c>
      <c r="W99" s="5">
        <f t="shared" si="79"/>
        <v>3.8397973132007617</v>
      </c>
      <c r="X99" s="16" t="s">
        <v>45</v>
      </c>
      <c r="Y99" s="21">
        <f>(G105/60)+ (G106*0.1)</f>
        <v>22.666666666666668</v>
      </c>
      <c r="Z99" s="5">
        <f t="shared" si="77"/>
        <v>21.937310153867497</v>
      </c>
      <c r="AA99" s="5">
        <f t="shared" si="78"/>
        <v>12.66551192263171</v>
      </c>
      <c r="AB99" s="5"/>
      <c r="AD99" s="5"/>
    </row>
    <row r="100" spans="1:31" x14ac:dyDescent="0.25">
      <c r="A100" t="s">
        <v>59</v>
      </c>
      <c r="B100" t="s">
        <v>89</v>
      </c>
      <c r="D100">
        <v>20</v>
      </c>
      <c r="E100">
        <v>3600</v>
      </c>
      <c r="F100" s="4">
        <f t="shared" si="76"/>
        <v>2659.6163259173577</v>
      </c>
      <c r="G100" s="4">
        <v>2500</v>
      </c>
      <c r="H100" s="4">
        <v>8</v>
      </c>
      <c r="I100" s="4">
        <v>6</v>
      </c>
      <c r="J100" s="4">
        <v>5</v>
      </c>
      <c r="K100" s="5"/>
      <c r="L100" s="5">
        <f>3.14159*G100*E100*(H100+I100+J100)*7.85/3000000</f>
        <v>1405.7044454999998</v>
      </c>
      <c r="M100" s="5">
        <f t="shared" si="91"/>
        <v>1168.394</v>
      </c>
      <c r="N100" s="5">
        <f t="shared" si="92"/>
        <v>70.285222274999995</v>
      </c>
      <c r="O100" s="7">
        <f>SUM(L100, M100,N100)*F2*2*2</f>
        <v>1057753.4671099999</v>
      </c>
      <c r="P100" s="5">
        <f t="shared" si="73"/>
        <v>2644.3836677749996</v>
      </c>
      <c r="Q100">
        <f t="shared" si="93"/>
        <v>16000</v>
      </c>
      <c r="R100" s="17">
        <f t="shared" si="75"/>
        <v>18644.383667775001</v>
      </c>
      <c r="S100" s="17">
        <f t="shared" si="82"/>
        <v>18644.383667775001</v>
      </c>
      <c r="T100" s="16" t="s">
        <v>71</v>
      </c>
      <c r="U100" s="21">
        <f>B84*1000/60</f>
        <v>8.3333333333333339</v>
      </c>
      <c r="V100" s="5">
        <f t="shared" si="81"/>
        <v>13.301448074460369</v>
      </c>
      <c r="W100" s="5">
        <f t="shared" si="79"/>
        <v>7.6795946264015233</v>
      </c>
      <c r="X100" s="16"/>
      <c r="Y100" s="16"/>
      <c r="Z100" s="5"/>
      <c r="AA100" s="5"/>
      <c r="AB100" s="5"/>
      <c r="AD100" s="5"/>
    </row>
    <row r="101" spans="1:31" x14ac:dyDescent="0.25">
      <c r="A101" t="s">
        <v>60</v>
      </c>
      <c r="B101" t="s">
        <v>90</v>
      </c>
      <c r="D101">
        <v>20</v>
      </c>
      <c r="E101">
        <v>3600</v>
      </c>
      <c r="F101" s="4">
        <f t="shared" si="76"/>
        <v>2659.6163259173577</v>
      </c>
      <c r="G101" s="4">
        <v>2500</v>
      </c>
      <c r="H101" s="4">
        <v>6</v>
      </c>
      <c r="I101" s="4"/>
      <c r="J101" s="4"/>
      <c r="K101" s="5"/>
      <c r="L101" s="5">
        <f t="shared" ref="L101:L103" si="94">3.14159*G101*E101*(H101+I101+J101)*7.85/3000000</f>
        <v>443.90666699999991</v>
      </c>
      <c r="M101" s="5">
        <f t="shared" si="91"/>
        <v>876.29549999999995</v>
      </c>
      <c r="N101" s="5">
        <f t="shared" si="92"/>
        <v>22.195333349999999</v>
      </c>
      <c r="O101" s="7">
        <f>SUM(L101, M101,N101)*F2*3*2</f>
        <v>805438.50020999997</v>
      </c>
      <c r="P101" s="5">
        <f t="shared" si="73"/>
        <v>1342.39750035</v>
      </c>
      <c r="Q101">
        <f t="shared" si="93"/>
        <v>16000</v>
      </c>
      <c r="R101" s="17">
        <f t="shared" si="75"/>
        <v>17342.397500350002</v>
      </c>
      <c r="S101" s="17">
        <f t="shared" si="82"/>
        <v>17342.397500350002</v>
      </c>
      <c r="T101" s="16"/>
      <c r="U101" s="16"/>
      <c r="V101" s="5"/>
      <c r="W101" s="5"/>
      <c r="X101" s="16"/>
      <c r="Y101" s="16"/>
      <c r="Z101" s="5"/>
      <c r="AA101" s="5"/>
      <c r="AB101" s="5"/>
      <c r="AD101" s="5"/>
    </row>
    <row r="102" spans="1:31" x14ac:dyDescent="0.25">
      <c r="A102" t="s">
        <v>61</v>
      </c>
      <c r="B102" t="s">
        <v>91</v>
      </c>
      <c r="D102">
        <v>20</v>
      </c>
      <c r="E102">
        <v>3600</v>
      </c>
      <c r="F102" s="4">
        <f t="shared" si="76"/>
        <v>2659.6163259173577</v>
      </c>
      <c r="G102" s="4">
        <v>2500</v>
      </c>
      <c r="H102" s="4">
        <v>8</v>
      </c>
      <c r="I102" s="4">
        <v>6</v>
      </c>
      <c r="J102" s="4">
        <v>5</v>
      </c>
      <c r="K102" s="5"/>
      <c r="L102" s="5">
        <f t="shared" si="94"/>
        <v>1405.7044454999998</v>
      </c>
      <c r="M102" s="5">
        <f t="shared" si="91"/>
        <v>1168.394</v>
      </c>
      <c r="N102" s="5">
        <f t="shared" si="92"/>
        <v>70.285222274999995</v>
      </c>
      <c r="O102" s="7">
        <f>SUM(L102, M102,N102)*F2*2</f>
        <v>528876.73355499993</v>
      </c>
      <c r="P102" s="5">
        <f t="shared" si="73"/>
        <v>2644.3836677749996</v>
      </c>
      <c r="Q102">
        <f t="shared" si="93"/>
        <v>16000</v>
      </c>
      <c r="R102" s="17">
        <f t="shared" si="75"/>
        <v>18644.383667775001</v>
      </c>
      <c r="S102" s="17">
        <f t="shared" si="82"/>
        <v>18644.383667775001</v>
      </c>
      <c r="T102" s="16"/>
      <c r="U102" s="16"/>
      <c r="V102" s="5"/>
      <c r="W102" s="5"/>
      <c r="X102" s="16"/>
      <c r="Y102" s="16"/>
      <c r="Z102" s="5"/>
      <c r="AA102" s="5"/>
      <c r="AB102" s="5"/>
      <c r="AD102" s="5"/>
    </row>
    <row r="103" spans="1:31" x14ac:dyDescent="0.25">
      <c r="A103" t="s">
        <v>62</v>
      </c>
      <c r="B103" t="s">
        <v>92</v>
      </c>
      <c r="D103">
        <v>20</v>
      </c>
      <c r="E103">
        <v>3600</v>
      </c>
      <c r="F103" s="4">
        <f t="shared" si="76"/>
        <v>2659.6163259173577</v>
      </c>
      <c r="G103" s="4">
        <v>2500</v>
      </c>
      <c r="H103" s="4">
        <v>8</v>
      </c>
      <c r="I103" s="4">
        <v>6</v>
      </c>
      <c r="J103" s="4">
        <v>5</v>
      </c>
      <c r="K103" s="5"/>
      <c r="L103" s="5">
        <f t="shared" si="94"/>
        <v>1405.7044454999998</v>
      </c>
      <c r="M103" s="5">
        <f t="shared" si="91"/>
        <v>1168.394</v>
      </c>
      <c r="N103" s="5">
        <f t="shared" si="92"/>
        <v>70.285222274999995</v>
      </c>
      <c r="O103" s="7">
        <f>SUM(L103, M103,N103)*F2*2</f>
        <v>528876.73355499993</v>
      </c>
      <c r="P103" s="5">
        <f t="shared" si="73"/>
        <v>2644.3836677749996</v>
      </c>
      <c r="Q103">
        <f t="shared" si="93"/>
        <v>16000</v>
      </c>
      <c r="R103" s="17">
        <f t="shared" si="75"/>
        <v>18644.383667775001</v>
      </c>
      <c r="S103" s="17">
        <f t="shared" si="82"/>
        <v>18644.383667775001</v>
      </c>
      <c r="T103" s="16"/>
      <c r="U103" s="16"/>
      <c r="V103" s="5"/>
      <c r="W103" s="5"/>
      <c r="AB103" s="5"/>
      <c r="AD103" s="5"/>
    </row>
    <row r="104" spans="1:31" x14ac:dyDescent="0.25">
      <c r="F104" s="4"/>
      <c r="H104" s="5"/>
      <c r="L104" s="5"/>
      <c r="M104" s="5"/>
      <c r="N104" t="s">
        <v>15</v>
      </c>
      <c r="O104" s="7">
        <f>SUM(O86:O103)</f>
        <v>14045459.384279927</v>
      </c>
      <c r="P104" s="5"/>
      <c r="R104" s="5"/>
      <c r="S104" s="17"/>
      <c r="V104" s="5"/>
      <c r="W104" s="5"/>
      <c r="Z104" s="5"/>
      <c r="AA104" s="5"/>
      <c r="AB104" s="5"/>
      <c r="AD104" s="5"/>
    </row>
    <row r="105" spans="1:31" x14ac:dyDescent="0.25">
      <c r="A105" t="s">
        <v>18</v>
      </c>
      <c r="E105" t="s">
        <v>19</v>
      </c>
      <c r="F105">
        <f>B84*40000/500*24</f>
        <v>960</v>
      </c>
      <c r="G105">
        <v>1000</v>
      </c>
      <c r="H105">
        <f>(D86+D87+D89+D90+D91+D92+D93+D94)*40000/500</f>
        <v>963.99999999999989</v>
      </c>
      <c r="L105" s="5"/>
      <c r="M105" s="5"/>
      <c r="N105" s="5"/>
      <c r="O105" s="7"/>
      <c r="P105" s="5"/>
      <c r="R105" s="5"/>
      <c r="V105" s="5"/>
      <c r="W105" s="5"/>
      <c r="Z105" s="5"/>
      <c r="AA105" s="5"/>
    </row>
    <row r="106" spans="1:31" x14ac:dyDescent="0.25">
      <c r="A106" t="s">
        <v>17</v>
      </c>
      <c r="E106" t="s">
        <v>20</v>
      </c>
      <c r="G106">
        <f>G105*0.2*540/3/600</f>
        <v>60</v>
      </c>
      <c r="V106" s="5"/>
      <c r="W106" s="5"/>
      <c r="Z106" s="5"/>
      <c r="AA106" s="5"/>
    </row>
    <row r="107" spans="1:31" x14ac:dyDescent="0.25">
      <c r="E107" t="s">
        <v>108</v>
      </c>
      <c r="G107">
        <f>G105/100*7*24</f>
        <v>1680</v>
      </c>
      <c r="O107" s="7"/>
      <c r="P107" s="7"/>
      <c r="Q107" s="7"/>
      <c r="R107" s="7"/>
      <c r="S107" s="7"/>
    </row>
    <row r="108" spans="1:31" x14ac:dyDescent="0.25">
      <c r="O108" s="7"/>
      <c r="P108" s="7"/>
      <c r="Q108" s="7"/>
      <c r="R108" s="7"/>
      <c r="S108" s="7"/>
    </row>
    <row r="111" spans="1:31" ht="19.5" customHeight="1" x14ac:dyDescent="0.25">
      <c r="X111" s="11"/>
      <c r="Y111" s="11"/>
      <c r="Z111" s="11"/>
      <c r="AB111" s="12"/>
      <c r="AC111" s="12"/>
      <c r="AD111" s="12"/>
      <c r="AE111" s="12"/>
    </row>
    <row r="112" spans="1:31" ht="19.5" customHeight="1" x14ac:dyDescent="0.25">
      <c r="X112" s="23"/>
      <c r="Y112" s="23"/>
      <c r="Z112" s="23"/>
      <c r="AB112" s="23"/>
      <c r="AC112" s="23"/>
      <c r="AD112" s="23"/>
      <c r="AE112" s="23"/>
    </row>
    <row r="113" spans="24:31" ht="18.75" customHeight="1" x14ac:dyDescent="0.25">
      <c r="X113" s="23"/>
      <c r="Y113" s="23"/>
      <c r="Z113" s="23"/>
      <c r="AB113" s="23"/>
      <c r="AC113" s="23"/>
      <c r="AD113" s="23"/>
      <c r="AE113" s="23"/>
    </row>
    <row r="114" spans="24:31" x14ac:dyDescent="0.25">
      <c r="Y114" s="5"/>
      <c r="Z114" s="5"/>
      <c r="AB114" s="5"/>
      <c r="AD114" s="5"/>
    </row>
    <row r="115" spans="24:31" x14ac:dyDescent="0.25">
      <c r="X115" s="4"/>
      <c r="Y115" s="5"/>
      <c r="Z115" s="5"/>
      <c r="AB115" s="5"/>
      <c r="AD115" s="5"/>
    </row>
    <row r="116" spans="24:31" x14ac:dyDescent="0.25">
      <c r="X116" s="4"/>
      <c r="Y116" s="5"/>
      <c r="Z116" s="5"/>
      <c r="AB116" s="5"/>
      <c r="AD116" s="5"/>
    </row>
    <row r="117" spans="24:31" x14ac:dyDescent="0.25">
      <c r="X117" s="4"/>
      <c r="Y117" s="5"/>
      <c r="Z117" s="5"/>
      <c r="AB117" s="5"/>
      <c r="AD117" s="5"/>
    </row>
    <row r="118" spans="24:31" x14ac:dyDescent="0.25">
      <c r="X118" s="4"/>
      <c r="Y118" s="5"/>
      <c r="Z118" s="5"/>
      <c r="AB118" s="5"/>
      <c r="AD118" s="5"/>
    </row>
    <row r="119" spans="24:31" x14ac:dyDescent="0.25">
      <c r="X119" s="4"/>
      <c r="Y119" s="5"/>
      <c r="Z119" s="5"/>
      <c r="AB119" s="5"/>
      <c r="AD119" s="5"/>
    </row>
    <row r="120" spans="24:31" x14ac:dyDescent="0.25">
      <c r="X120" s="4"/>
      <c r="Y120" s="5"/>
      <c r="Z120" s="5"/>
      <c r="AB120" s="5"/>
      <c r="AD120" s="5"/>
    </row>
    <row r="121" spans="24:31" x14ac:dyDescent="0.25">
      <c r="X121" s="4"/>
      <c r="Y121" s="5"/>
      <c r="Z121" s="5"/>
      <c r="AB121" s="5"/>
      <c r="AD121" s="5"/>
    </row>
    <row r="122" spans="24:31" x14ac:dyDescent="0.25">
      <c r="X122" s="4"/>
      <c r="Y122" s="5"/>
      <c r="Z122" s="5"/>
      <c r="AB122" s="5"/>
      <c r="AD122" s="5"/>
    </row>
    <row r="123" spans="24:31" x14ac:dyDescent="0.25">
      <c r="X123" s="4"/>
      <c r="Y123" s="5"/>
      <c r="Z123" s="5"/>
      <c r="AB123" s="5"/>
      <c r="AD123" s="5"/>
    </row>
    <row r="124" spans="24:31" x14ac:dyDescent="0.25">
      <c r="X124" s="4"/>
      <c r="Y124" s="5"/>
      <c r="Z124" s="5"/>
      <c r="AB124" s="5"/>
      <c r="AD124" s="5"/>
    </row>
    <row r="125" spans="24:31" x14ac:dyDescent="0.25">
      <c r="X125" s="4"/>
      <c r="Y125" s="5"/>
      <c r="Z125" s="5"/>
      <c r="AB125" s="5"/>
      <c r="AD125" s="5"/>
    </row>
    <row r="126" spans="24:31" x14ac:dyDescent="0.25">
      <c r="X126" s="4"/>
      <c r="Y126" s="5"/>
      <c r="Z126" s="5"/>
      <c r="AB126" s="5"/>
      <c r="AD126" s="5"/>
    </row>
    <row r="127" spans="24:31" x14ac:dyDescent="0.25">
      <c r="X127" s="4"/>
      <c r="Y127" s="5"/>
      <c r="Z127" s="5"/>
      <c r="AB127" s="5"/>
      <c r="AD127" s="5"/>
    </row>
    <row r="128" spans="24:31" x14ac:dyDescent="0.25">
      <c r="X128" s="4"/>
      <c r="Y128" s="5"/>
      <c r="Z128" s="5"/>
      <c r="AB128" s="5"/>
      <c r="AD128" s="5"/>
    </row>
    <row r="129" spans="25:30" x14ac:dyDescent="0.25">
      <c r="Y129" s="5"/>
      <c r="Z129" s="5"/>
      <c r="AB129" s="5"/>
      <c r="AD129" s="5"/>
    </row>
    <row r="130" spans="25:30" x14ac:dyDescent="0.25">
      <c r="Y130" s="5"/>
      <c r="Z130" s="5"/>
      <c r="AB130" s="5"/>
      <c r="AD130" s="5"/>
    </row>
    <row r="131" spans="25:30" x14ac:dyDescent="0.25">
      <c r="Y131" s="5"/>
      <c r="Z131" s="5"/>
      <c r="AB131" s="5"/>
      <c r="AD131" s="5"/>
    </row>
    <row r="132" spans="25:30" x14ac:dyDescent="0.25">
      <c r="Y132" s="5"/>
      <c r="Z132" s="5"/>
      <c r="AB132" s="5"/>
      <c r="AD132" s="5"/>
    </row>
    <row r="133" spans="25:30" x14ac:dyDescent="0.25">
      <c r="Y133" s="5"/>
      <c r="Z133" s="5"/>
      <c r="AB133" s="5"/>
      <c r="AD133" s="5"/>
    </row>
    <row r="134" spans="25:30" x14ac:dyDescent="0.25">
      <c r="Y134" s="5"/>
      <c r="Z134" s="5"/>
      <c r="AB134" s="5"/>
      <c r="AD134" s="5"/>
    </row>
    <row r="135" spans="25:30" x14ac:dyDescent="0.25">
      <c r="Y135" s="5"/>
      <c r="Z135" s="5"/>
      <c r="AB135" s="5"/>
      <c r="AD135" s="5"/>
    </row>
    <row r="136" spans="25:30" x14ac:dyDescent="0.25">
      <c r="Y136" s="5"/>
      <c r="Z136" s="5"/>
      <c r="AB136" s="5"/>
      <c r="AD136" s="5"/>
    </row>
    <row r="137" spans="25:30" x14ac:dyDescent="0.25">
      <c r="Y137" s="5"/>
      <c r="Z137" s="5"/>
      <c r="AB137" s="5"/>
      <c r="AD137" s="5"/>
    </row>
    <row r="138" spans="25:30" x14ac:dyDescent="0.25">
      <c r="Y138" s="5"/>
      <c r="Z138" s="5"/>
      <c r="AB138" s="5"/>
      <c r="AD138" s="5"/>
    </row>
    <row r="140" spans="25:30" x14ac:dyDescent="0.25">
      <c r="Y140" s="5"/>
      <c r="Z140" s="5"/>
    </row>
  </sheetData>
  <mergeCells count="4">
    <mergeCell ref="H31:K31"/>
    <mergeCell ref="T1:AA2"/>
    <mergeCell ref="H58:K58"/>
    <mergeCell ref="H85:K8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workbookViewId="0">
      <selection sqref="A1:D1"/>
    </sheetView>
  </sheetViews>
  <sheetFormatPr defaultRowHeight="15" x14ac:dyDescent="0.25"/>
  <cols>
    <col min="6" max="6" width="10" customWidth="1"/>
    <col min="10" max="10" width="15.140625" customWidth="1"/>
    <col min="15" max="15" width="13.140625" customWidth="1"/>
    <col min="16" max="16" width="12.140625" customWidth="1"/>
    <col min="17" max="17" width="11.42578125" customWidth="1"/>
  </cols>
  <sheetData>
    <row r="1" spans="1:16" x14ac:dyDescent="0.25">
      <c r="A1" s="28" t="s">
        <v>21</v>
      </c>
      <c r="B1" s="28"/>
      <c r="C1" s="28"/>
      <c r="D1" s="28"/>
      <c r="E1">
        <v>200</v>
      </c>
    </row>
    <row r="2" spans="1:16" x14ac:dyDescent="0.25">
      <c r="A2" s="27"/>
      <c r="B2" s="27"/>
      <c r="C2" s="27"/>
      <c r="D2" s="27"/>
    </row>
    <row r="3" spans="1:16" x14ac:dyDescent="0.25">
      <c r="A3" t="s">
        <v>36</v>
      </c>
      <c r="B3">
        <v>100000</v>
      </c>
      <c r="C3" t="s">
        <v>37</v>
      </c>
    </row>
    <row r="4" spans="1:16" ht="60" x14ac:dyDescent="0.25">
      <c r="A4" s="27" t="s">
        <v>114</v>
      </c>
      <c r="B4" s="27" t="s">
        <v>35</v>
      </c>
      <c r="C4" s="27" t="s">
        <v>4</v>
      </c>
      <c r="D4" s="27" t="s">
        <v>5</v>
      </c>
      <c r="E4" s="27" t="s">
        <v>6</v>
      </c>
      <c r="F4" s="27" t="s">
        <v>10</v>
      </c>
      <c r="G4" s="27" t="s">
        <v>113</v>
      </c>
      <c r="H4" s="27" t="s">
        <v>14</v>
      </c>
      <c r="I4" s="27" t="s">
        <v>115</v>
      </c>
      <c r="J4" s="10" t="s">
        <v>13</v>
      </c>
      <c r="K4" s="27" t="s">
        <v>47</v>
      </c>
      <c r="L4" s="27" t="s">
        <v>49</v>
      </c>
      <c r="M4" s="27" t="s">
        <v>48</v>
      </c>
      <c r="N4" s="27" t="s">
        <v>50</v>
      </c>
      <c r="O4" s="27" t="s">
        <v>22</v>
      </c>
      <c r="P4" s="27" t="s">
        <v>38</v>
      </c>
    </row>
    <row r="5" spans="1:16" x14ac:dyDescent="0.25">
      <c r="A5" s="3" t="s">
        <v>2</v>
      </c>
      <c r="B5">
        <v>7500</v>
      </c>
      <c r="C5">
        <v>2400</v>
      </c>
      <c r="D5" s="4">
        <f>SQRT(B5*4/C5/3.14159)*1000</f>
        <v>1994.7122444380184</v>
      </c>
      <c r="E5">
        <v>2000</v>
      </c>
      <c r="F5" s="4">
        <v>4</v>
      </c>
      <c r="G5" s="4">
        <f>3.14159*E5*C5*F5*7.85/1000000</f>
        <v>473.50044479999991</v>
      </c>
      <c r="H5" s="4">
        <f>E5*E5*1.22*1.22*F5*7.85*2/1000000</f>
        <v>373.88607999999999</v>
      </c>
      <c r="I5" s="4">
        <f>G5*0.05</f>
        <v>23.675022239999997</v>
      </c>
      <c r="J5" s="7">
        <f>(G5+H5+I5)*E1</f>
        <v>174212.309408</v>
      </c>
      <c r="K5" s="4">
        <f t="shared" ref="K5:K14" si="0">G5+H5+I5</f>
        <v>871.06154703999994</v>
      </c>
      <c r="L5" s="4">
        <f>K5*0.8</f>
        <v>696.84923763200004</v>
      </c>
      <c r="M5" s="4">
        <f>K5+L5</f>
        <v>1567.9107846719999</v>
      </c>
      <c r="N5" s="4">
        <f>M5</f>
        <v>1567.9107846719999</v>
      </c>
      <c r="O5" s="9" t="s">
        <v>30</v>
      </c>
      <c r="P5" s="4">
        <f>B3*0.95/16</f>
        <v>5937.5</v>
      </c>
    </row>
    <row r="6" spans="1:16" x14ac:dyDescent="0.25">
      <c r="A6" t="s">
        <v>24</v>
      </c>
      <c r="B6">
        <v>30000</v>
      </c>
      <c r="C6">
        <v>4000</v>
      </c>
      <c r="D6" s="4">
        <f>SQRT(B6*4/C6/3.14159)*1000</f>
        <v>3090.194921273785</v>
      </c>
      <c r="E6">
        <v>3000</v>
      </c>
      <c r="F6" s="4">
        <v>8</v>
      </c>
      <c r="G6" s="4">
        <f>3.14159*E6*C6*F6*7.85*2/1000000</f>
        <v>4735.0044479999997</v>
      </c>
      <c r="H6" s="4">
        <f>E6*E6*1.22*1.22*F6*7.85*2/1000000</f>
        <v>1682.4873600000001</v>
      </c>
      <c r="I6" s="4">
        <f>G6*0.05</f>
        <v>236.75022239999998</v>
      </c>
      <c r="J6" s="7">
        <f>(G6+H6+I6)*E1</f>
        <v>1330848.4060799999</v>
      </c>
      <c r="K6" s="4">
        <f t="shared" si="0"/>
        <v>6654.2420303999997</v>
      </c>
      <c r="L6" s="4">
        <f t="shared" ref="L6:L14" si="1">K6*0.8</f>
        <v>5323.3936243200005</v>
      </c>
      <c r="M6" s="4">
        <f t="shared" ref="M6:M14" si="2">K6+L6</f>
        <v>11977.635654720001</v>
      </c>
      <c r="N6" s="4">
        <f t="shared" ref="N6:N14" si="3">M6</f>
        <v>11977.635654720001</v>
      </c>
      <c r="O6" s="9" t="s">
        <v>31</v>
      </c>
      <c r="P6" s="4">
        <f>B3*0.15/16</f>
        <v>937.5</v>
      </c>
    </row>
    <row r="7" spans="1:16" x14ac:dyDescent="0.25">
      <c r="A7" t="s">
        <v>7</v>
      </c>
      <c r="B7" s="4">
        <f>3.14159*C7*E7*E7/4000000</f>
        <v>248.87283281250001</v>
      </c>
      <c r="C7">
        <v>3000</v>
      </c>
      <c r="D7" s="4"/>
      <c r="E7">
        <v>325</v>
      </c>
      <c r="F7" s="4">
        <v>6</v>
      </c>
      <c r="G7" s="4">
        <f>3.14159*E7*C7*F7*7.85/1000000</f>
        <v>144.26966677500002</v>
      </c>
      <c r="H7" s="4">
        <f>E7*E7*1.22*1.22*F7*7.85/1000000</f>
        <v>7.4046969749999993</v>
      </c>
      <c r="I7" s="4">
        <f>G7*0.3</f>
        <v>43.280900032500007</v>
      </c>
      <c r="J7" s="7">
        <f>(G7+H7+I7)*E1*1.5</f>
        <v>58486.579134750013</v>
      </c>
      <c r="K7" s="4">
        <f t="shared" si="0"/>
        <v>194.95526378250003</v>
      </c>
      <c r="L7" s="4">
        <f t="shared" si="1"/>
        <v>155.96421102600004</v>
      </c>
      <c r="M7" s="4">
        <f t="shared" si="2"/>
        <v>350.91947480850007</v>
      </c>
      <c r="N7" s="4">
        <f t="shared" si="3"/>
        <v>350.91947480850007</v>
      </c>
      <c r="O7" s="9" t="s">
        <v>32</v>
      </c>
      <c r="P7" s="4">
        <f>B3*0.5/16</f>
        <v>3125</v>
      </c>
    </row>
    <row r="8" spans="1:16" x14ac:dyDescent="0.25">
      <c r="A8" t="s">
        <v>25</v>
      </c>
      <c r="B8">
        <v>3000</v>
      </c>
      <c r="C8">
        <v>1800</v>
      </c>
      <c r="D8" s="4">
        <f>SQRT(B8*4/C8/3.14159)*1000</f>
        <v>1456.7318560139486</v>
      </c>
      <c r="E8">
        <v>1500</v>
      </c>
      <c r="F8" s="4">
        <v>6</v>
      </c>
      <c r="G8" s="4">
        <f>3.14159*E8*C8*F8*7.85/1000000</f>
        <v>399.51600029999997</v>
      </c>
      <c r="H8" s="4">
        <f>E8*E8*1.22*1.22*F8*7.85*2/1000000</f>
        <v>315.46638000000002</v>
      </c>
      <c r="I8" s="4">
        <f>G8*0.05</f>
        <v>19.975800015000001</v>
      </c>
      <c r="J8" s="7">
        <f>(G8+H8+I8)*E1</f>
        <v>146991.63606299998</v>
      </c>
      <c r="K8" s="4">
        <f t="shared" si="0"/>
        <v>734.95818031499994</v>
      </c>
      <c r="L8" s="4">
        <f t="shared" si="1"/>
        <v>587.96654425199995</v>
      </c>
      <c r="M8" s="4">
        <f t="shared" si="2"/>
        <v>1322.9247245669999</v>
      </c>
      <c r="N8" s="4">
        <f t="shared" si="3"/>
        <v>1322.9247245669999</v>
      </c>
      <c r="O8" s="9" t="s">
        <v>23</v>
      </c>
      <c r="P8" s="4">
        <f>B3*0.5/16</f>
        <v>3125</v>
      </c>
    </row>
    <row r="9" spans="1:16" x14ac:dyDescent="0.25">
      <c r="A9" t="s">
        <v>8</v>
      </c>
      <c r="B9">
        <v>15000</v>
      </c>
      <c r="C9" s="8">
        <v>3000</v>
      </c>
      <c r="D9" s="4">
        <f>SQRT(B9*4/C9/3.14159)*1000</f>
        <v>2523.1335876202693</v>
      </c>
      <c r="E9">
        <v>2500</v>
      </c>
      <c r="F9" s="4">
        <v>8</v>
      </c>
      <c r="G9" s="4">
        <f>3.14159*E9*C9*F9*7.85*2/1000000</f>
        <v>2959.3777799999998</v>
      </c>
      <c r="H9" s="4">
        <f>E9*E9*1.22*1.22*F9*7.85*2/1000000</f>
        <v>1168.394</v>
      </c>
      <c r="I9" s="4">
        <f>G9*0.1</f>
        <v>295.93777799999998</v>
      </c>
      <c r="J9" s="7">
        <f>(G9+H9+I9)*E1</f>
        <v>884741.91160000011</v>
      </c>
      <c r="K9" s="4">
        <f t="shared" si="0"/>
        <v>4423.7095580000005</v>
      </c>
      <c r="L9" s="4">
        <f t="shared" si="1"/>
        <v>3538.9676464000004</v>
      </c>
      <c r="M9" s="4">
        <f t="shared" si="2"/>
        <v>7962.6772044000008</v>
      </c>
      <c r="N9" s="4">
        <f t="shared" si="3"/>
        <v>7962.6772044000008</v>
      </c>
      <c r="O9" s="9" t="s">
        <v>33</v>
      </c>
      <c r="P9" s="4">
        <f>B3*0.15/16</f>
        <v>937.5</v>
      </c>
    </row>
    <row r="10" spans="1:16" x14ac:dyDescent="0.25">
      <c r="A10" t="s">
        <v>26</v>
      </c>
      <c r="B10" s="4">
        <f>3.14159*C10*E10*E10/4000000</f>
        <v>497.74566562500002</v>
      </c>
      <c r="C10" s="8">
        <v>6000</v>
      </c>
      <c r="D10" s="4"/>
      <c r="E10">
        <v>325</v>
      </c>
      <c r="F10" s="4">
        <v>6</v>
      </c>
      <c r="G10" s="4">
        <f>3.14159*E10*C10*F10*7.85/1000000</f>
        <v>288.53933355000004</v>
      </c>
      <c r="H10" s="4">
        <f>E10*E10*1.22*1.22*F10*7.85/1000000</f>
        <v>7.4046969749999993</v>
      </c>
      <c r="I10" s="4">
        <f>G10*0.3</f>
        <v>86.561800065000014</v>
      </c>
      <c r="J10" s="7">
        <f>(G10+H10+I10)*E1</f>
        <v>76501.166118000008</v>
      </c>
      <c r="K10" s="4">
        <f t="shared" si="0"/>
        <v>382.50583059000002</v>
      </c>
      <c r="L10" s="4">
        <f t="shared" si="1"/>
        <v>306.004664472</v>
      </c>
      <c r="M10" s="4">
        <f t="shared" si="2"/>
        <v>688.51049506200002</v>
      </c>
      <c r="N10" s="4">
        <f t="shared" si="3"/>
        <v>688.51049506200002</v>
      </c>
      <c r="O10" s="9" t="s">
        <v>34</v>
      </c>
      <c r="P10" s="4">
        <f>B3*0.5/16</f>
        <v>3125</v>
      </c>
    </row>
    <row r="11" spans="1:16" x14ac:dyDescent="0.25">
      <c r="A11" t="s">
        <v>9</v>
      </c>
      <c r="B11">
        <v>7500</v>
      </c>
      <c r="C11" s="8">
        <v>2400</v>
      </c>
      <c r="D11" s="4">
        <f>SQRT(B11*4/C11/3.14159)*1000</f>
        <v>1994.7122444380184</v>
      </c>
      <c r="E11">
        <v>2000</v>
      </c>
      <c r="F11" s="4">
        <v>6</v>
      </c>
      <c r="G11" s="4">
        <f>3.14159*E11*C11*F11*7.85/1000000</f>
        <v>710.25066719999984</v>
      </c>
      <c r="H11" s="4">
        <f>E11*E11*1.22*1.22*F11*7.85*2/1000000</f>
        <v>560.82911999999999</v>
      </c>
      <c r="I11" s="4">
        <f t="shared" ref="I11:I12" si="4">G11*0.1</f>
        <v>71.025066719999984</v>
      </c>
      <c r="J11" s="7">
        <f>(G11+H11+I11)*E1*2.5</f>
        <v>671052.42695999984</v>
      </c>
      <c r="K11" s="4">
        <f t="shared" si="0"/>
        <v>1342.1048539199999</v>
      </c>
      <c r="L11" s="4">
        <f t="shared" si="1"/>
        <v>1073.6838831359998</v>
      </c>
      <c r="M11" s="4">
        <f t="shared" si="2"/>
        <v>2415.7887370559997</v>
      </c>
      <c r="N11" s="4">
        <f t="shared" si="3"/>
        <v>2415.7887370559997</v>
      </c>
    </row>
    <row r="12" spans="1:16" x14ac:dyDescent="0.25">
      <c r="A12" t="s">
        <v>27</v>
      </c>
      <c r="B12">
        <v>15000</v>
      </c>
      <c r="C12" s="8">
        <v>4000</v>
      </c>
      <c r="D12" s="4">
        <f>SQRT(B12*4/C12/3.14159)*1000</f>
        <v>2185.0977840209225</v>
      </c>
      <c r="E12">
        <v>2200</v>
      </c>
      <c r="F12" s="4">
        <v>8</v>
      </c>
      <c r="G12" s="4">
        <f>3.14159*E12*C12*F12*7.85*2/1000000</f>
        <v>3472.3365951999999</v>
      </c>
      <c r="H12" s="4">
        <f>E12*E12*1.22*1.22*F12*7.85*2/1000000</f>
        <v>904.80431359999989</v>
      </c>
      <c r="I12" s="4">
        <f t="shared" si="4"/>
        <v>347.23365952</v>
      </c>
      <c r="J12" s="7">
        <f>(G12+H12+I12)*E1</f>
        <v>944874.91366400011</v>
      </c>
      <c r="K12" s="4">
        <f t="shared" si="0"/>
        <v>4724.3745683200004</v>
      </c>
      <c r="L12" s="4">
        <f t="shared" si="1"/>
        <v>3779.4996546560005</v>
      </c>
      <c r="M12" s="4">
        <f t="shared" si="2"/>
        <v>8503.874222976001</v>
      </c>
      <c r="N12" s="4">
        <f t="shared" si="3"/>
        <v>8503.874222976001</v>
      </c>
    </row>
    <row r="13" spans="1:16" x14ac:dyDescent="0.25">
      <c r="A13" t="s">
        <v>28</v>
      </c>
      <c r="B13" s="4">
        <f>3.14159*C13*E13*E13/4000000</f>
        <v>497.74566562500002</v>
      </c>
      <c r="C13" s="8">
        <v>6000</v>
      </c>
      <c r="D13" s="4"/>
      <c r="E13">
        <v>325</v>
      </c>
      <c r="F13" s="4">
        <v>6</v>
      </c>
      <c r="G13" s="4">
        <f>3.14159*E13*C13*F13*7.85/1000000</f>
        <v>288.53933355000004</v>
      </c>
      <c r="H13" s="4">
        <f>E13*E13*1.22*1.22*F13*7.85/1000000</f>
        <v>7.4046969749999993</v>
      </c>
      <c r="I13" s="4">
        <f>G13*0.3</f>
        <v>86.561800065000014</v>
      </c>
      <c r="J13" s="7">
        <f>(G13+H13+I13)*E1</f>
        <v>76501.166118000008</v>
      </c>
      <c r="K13" s="4">
        <f t="shared" si="0"/>
        <v>382.50583059000002</v>
      </c>
      <c r="L13" s="4">
        <f t="shared" si="1"/>
        <v>306.004664472</v>
      </c>
      <c r="M13" s="4">
        <f t="shared" si="2"/>
        <v>688.51049506200002</v>
      </c>
      <c r="N13" s="4">
        <f t="shared" si="3"/>
        <v>688.51049506200002</v>
      </c>
    </row>
    <row r="14" spans="1:16" x14ac:dyDescent="0.25">
      <c r="A14" t="s">
        <v>29</v>
      </c>
      <c r="B14">
        <v>7500</v>
      </c>
      <c r="C14" s="8">
        <v>2400</v>
      </c>
      <c r="D14" s="4">
        <f>SQRT(B14*4/C14/3.14159)*1000</f>
        <v>1994.7122444380184</v>
      </c>
      <c r="E14">
        <v>2000</v>
      </c>
      <c r="F14" s="4">
        <v>8</v>
      </c>
      <c r="G14" s="4">
        <f>3.14159*E14*C14*F14*7.85/1000000</f>
        <v>947.00088959999982</v>
      </c>
      <c r="H14" s="4">
        <f>E14*E14*1.22*1.22*F14*7.85*2/1000000</f>
        <v>747.77215999999999</v>
      </c>
      <c r="I14" s="4">
        <f t="shared" ref="I14" si="5">G14*0.1</f>
        <v>94.700088959999988</v>
      </c>
      <c r="J14" s="7">
        <f>(G14+H14+I14)*E1</f>
        <v>357894.62771199999</v>
      </c>
      <c r="K14" s="4">
        <f t="shared" si="0"/>
        <v>1789.4731385599998</v>
      </c>
      <c r="L14" s="4">
        <f t="shared" si="1"/>
        <v>1431.578510848</v>
      </c>
      <c r="M14" s="4">
        <f t="shared" si="2"/>
        <v>3221.0516494079998</v>
      </c>
      <c r="N14" s="4">
        <f t="shared" si="3"/>
        <v>3221.0516494079998</v>
      </c>
    </row>
    <row r="15" spans="1:16" x14ac:dyDescent="0.25">
      <c r="C15" s="8"/>
      <c r="D15" s="4"/>
      <c r="F15" s="5"/>
      <c r="G15" s="5"/>
      <c r="H15" s="5"/>
      <c r="I15" s="5" t="s">
        <v>15</v>
      </c>
      <c r="J15" s="7">
        <f>SUM(J5:J14)</f>
        <v>4722105.1428577499</v>
      </c>
      <c r="K15" s="9"/>
      <c r="L15" s="4"/>
      <c r="M15" s="5"/>
      <c r="O15" s="5"/>
    </row>
    <row r="16" spans="1:16" x14ac:dyDescent="0.25">
      <c r="A16" t="s">
        <v>40</v>
      </c>
      <c r="E16" t="s">
        <v>39</v>
      </c>
      <c r="F16">
        <f>B3*80/24*5</f>
        <v>1666666.6666666665</v>
      </c>
      <c r="G16">
        <v>2000000</v>
      </c>
      <c r="H16" s="5"/>
      <c r="I16" s="5"/>
      <c r="J16" s="7"/>
      <c r="K16" s="9"/>
      <c r="L16" s="4"/>
      <c r="M16" s="5"/>
      <c r="O16" s="5"/>
    </row>
    <row r="17" spans="1:16" x14ac:dyDescent="0.25">
      <c r="A17" t="s">
        <v>17</v>
      </c>
      <c r="E17" t="s">
        <v>20</v>
      </c>
      <c r="G17" s="4">
        <f>F16*0.2/3/60</f>
        <v>1851.8518518518517</v>
      </c>
      <c r="H17" s="5"/>
      <c r="I17" s="5"/>
      <c r="J17" s="7"/>
      <c r="K17" s="9"/>
      <c r="L17" s="4"/>
      <c r="M17" s="5"/>
      <c r="O17" s="5"/>
    </row>
    <row r="18" spans="1:16" x14ac:dyDescent="0.25">
      <c r="A18" s="27"/>
      <c r="B18" s="27"/>
      <c r="C18" s="27"/>
      <c r="D18" s="27"/>
      <c r="M18" s="5"/>
      <c r="O18" s="5"/>
    </row>
    <row r="19" spans="1:16" x14ac:dyDescent="0.25">
      <c r="A19" t="s">
        <v>36</v>
      </c>
      <c r="B19">
        <v>50000</v>
      </c>
      <c r="C19" t="s">
        <v>37</v>
      </c>
      <c r="M19" s="5"/>
      <c r="O19" s="5"/>
    </row>
    <row r="20" spans="1:16" ht="60" x14ac:dyDescent="0.25">
      <c r="A20" s="27" t="s">
        <v>114</v>
      </c>
      <c r="B20" s="27" t="s">
        <v>35</v>
      </c>
      <c r="C20" s="27" t="s">
        <v>4</v>
      </c>
      <c r="D20" s="27" t="s">
        <v>5</v>
      </c>
      <c r="E20" s="27" t="s">
        <v>6</v>
      </c>
      <c r="F20" s="27" t="s">
        <v>10</v>
      </c>
      <c r="G20" s="27" t="s">
        <v>113</v>
      </c>
      <c r="H20" s="27" t="s">
        <v>14</v>
      </c>
      <c r="I20" s="27" t="s">
        <v>115</v>
      </c>
      <c r="J20" s="10" t="s">
        <v>13</v>
      </c>
      <c r="K20" s="27" t="s">
        <v>47</v>
      </c>
      <c r="L20" s="27" t="s">
        <v>49</v>
      </c>
      <c r="M20" s="27" t="s">
        <v>48</v>
      </c>
      <c r="N20" s="27" t="s">
        <v>50</v>
      </c>
      <c r="O20" s="27" t="s">
        <v>22</v>
      </c>
      <c r="P20" s="27" t="s">
        <v>38</v>
      </c>
    </row>
    <row r="21" spans="1:16" x14ac:dyDescent="0.25">
      <c r="A21" s="3" t="s">
        <v>2</v>
      </c>
      <c r="B21">
        <v>3500</v>
      </c>
      <c r="C21">
        <v>2400</v>
      </c>
      <c r="D21" s="4">
        <f>SQRT(B21*4/C21/3.14159)*1000</f>
        <v>1362.647877400876</v>
      </c>
      <c r="E21">
        <v>1400</v>
      </c>
      <c r="F21" s="4">
        <v>4</v>
      </c>
      <c r="G21" s="4">
        <f>3.14159*E21*C21*F21*7.85/1000000</f>
        <v>331.45031135999994</v>
      </c>
      <c r="H21" s="4">
        <f>E21*E21*1.22*1.22*F21*7.85*2/1000000</f>
        <v>183.2041792</v>
      </c>
      <c r="I21" s="4">
        <f>G21*0.05</f>
        <v>16.572515567999996</v>
      </c>
      <c r="J21" s="7">
        <f>(G21+H21+I21)*E1</f>
        <v>106245.40122559997</v>
      </c>
      <c r="K21" s="4">
        <f t="shared" ref="K21:K30" si="6">G21+H21+I21</f>
        <v>531.22700612799986</v>
      </c>
      <c r="L21" s="4">
        <f>K21*0.8</f>
        <v>424.98160490239991</v>
      </c>
      <c r="M21" s="4">
        <f>K21+L21</f>
        <v>956.20861103039977</v>
      </c>
      <c r="N21" s="4">
        <f>M21</f>
        <v>956.20861103039977</v>
      </c>
      <c r="O21" s="9" t="s">
        <v>30</v>
      </c>
      <c r="P21" s="4">
        <f>B19*0.95/16</f>
        <v>2968.75</v>
      </c>
    </row>
    <row r="22" spans="1:16" x14ac:dyDescent="0.25">
      <c r="A22" t="s">
        <v>24</v>
      </c>
      <c r="B22">
        <v>15000</v>
      </c>
      <c r="C22">
        <v>3000</v>
      </c>
      <c r="D22" s="4">
        <f>SQRT(B22*4/C22/3.14159)*1000</f>
        <v>2523.1335876202693</v>
      </c>
      <c r="E22">
        <v>2500</v>
      </c>
      <c r="F22" s="4">
        <v>8</v>
      </c>
      <c r="G22" s="4">
        <f>3.14159*E22*C22*F22*7.85*2/1000000</f>
        <v>2959.3777799999998</v>
      </c>
      <c r="H22" s="4">
        <f>E22*E22*1.22*1.22*F22*7.85*2/1000000</f>
        <v>1168.394</v>
      </c>
      <c r="I22" s="4">
        <f>G22*0.05</f>
        <v>147.96888899999999</v>
      </c>
      <c r="J22" s="7">
        <f>(G22+H22+I22)*E1</f>
        <v>855148.13379999995</v>
      </c>
      <c r="K22" s="4">
        <f t="shared" si="6"/>
        <v>4275.7406689999998</v>
      </c>
      <c r="L22" s="4">
        <f t="shared" ref="L22:L30" si="7">K22*0.8</f>
        <v>3420.5925351999999</v>
      </c>
      <c r="M22" s="4">
        <f t="shared" ref="M22:M30" si="8">K22+L22</f>
        <v>7696.3332042000002</v>
      </c>
      <c r="N22" s="4">
        <f t="shared" ref="N22:N30" si="9">M22</f>
        <v>7696.3332042000002</v>
      </c>
      <c r="O22" s="9" t="s">
        <v>31</v>
      </c>
      <c r="P22" s="4">
        <f>B19*0.15/16</f>
        <v>468.75</v>
      </c>
    </row>
    <row r="23" spans="1:16" x14ac:dyDescent="0.25">
      <c r="A23" t="s">
        <v>7</v>
      </c>
      <c r="B23" s="4">
        <f>3.14159*C23*E23*E23/4000000</f>
        <v>248.87283281250001</v>
      </c>
      <c r="C23">
        <v>3000</v>
      </c>
      <c r="D23" s="4"/>
      <c r="E23">
        <v>325</v>
      </c>
      <c r="F23" s="4">
        <v>6</v>
      </c>
      <c r="G23" s="4">
        <f>3.14159*E23*C23*F23*7.85/1000000</f>
        <v>144.26966677500002</v>
      </c>
      <c r="H23" s="4">
        <f>E23*E23*1.22*1.22*F23*7.85/1000000</f>
        <v>7.4046969749999993</v>
      </c>
      <c r="I23" s="4">
        <f>G23*0.3</f>
        <v>43.280900032500007</v>
      </c>
      <c r="J23" s="7">
        <f>(G23+H23+I23)*E1*1.5</f>
        <v>58486.579134750013</v>
      </c>
      <c r="K23" s="4">
        <f t="shared" si="6"/>
        <v>194.95526378250003</v>
      </c>
      <c r="L23" s="4">
        <f t="shared" si="7"/>
        <v>155.96421102600004</v>
      </c>
      <c r="M23" s="4">
        <f t="shared" si="8"/>
        <v>350.91947480850007</v>
      </c>
      <c r="N23" s="4">
        <f t="shared" si="9"/>
        <v>350.91947480850007</v>
      </c>
      <c r="O23" s="9" t="s">
        <v>32</v>
      </c>
      <c r="P23" s="4">
        <f>B19*0.5/16</f>
        <v>1562.5</v>
      </c>
    </row>
    <row r="24" spans="1:16" x14ac:dyDescent="0.25">
      <c r="A24" t="s">
        <v>25</v>
      </c>
      <c r="B24">
        <v>1500</v>
      </c>
      <c r="C24">
        <v>1200</v>
      </c>
      <c r="D24" s="4">
        <f>SQRT(B24*4/C24/3.14159)*1000</f>
        <v>1261.5667938101346</v>
      </c>
      <c r="E24">
        <v>1200</v>
      </c>
      <c r="F24" s="4">
        <v>6</v>
      </c>
      <c r="G24" s="4">
        <f>3.14159*E24*C24*F24*7.85/1000000</f>
        <v>213.07520015999998</v>
      </c>
      <c r="H24" s="4">
        <f>E24*E24*1.22*1.22*F24*7.85*2/1000000</f>
        <v>201.89848319999999</v>
      </c>
      <c r="I24" s="4">
        <f>G24*0.05</f>
        <v>10.653760007999999</v>
      </c>
      <c r="J24" s="7">
        <f>(G24+H24+I24)*E1</f>
        <v>85125.488673600004</v>
      </c>
      <c r="K24" s="4">
        <f t="shared" si="6"/>
        <v>425.627443368</v>
      </c>
      <c r="L24" s="4">
        <f t="shared" si="7"/>
        <v>340.50195469440001</v>
      </c>
      <c r="M24" s="4">
        <f t="shared" si="8"/>
        <v>766.12939806240001</v>
      </c>
      <c r="N24" s="4">
        <f t="shared" si="9"/>
        <v>766.12939806240001</v>
      </c>
      <c r="O24" s="9" t="s">
        <v>23</v>
      </c>
      <c r="P24" s="4">
        <f>B19*0.5/16</f>
        <v>1562.5</v>
      </c>
    </row>
    <row r="25" spans="1:16" x14ac:dyDescent="0.25">
      <c r="A25" t="s">
        <v>8</v>
      </c>
      <c r="B25">
        <v>7500</v>
      </c>
      <c r="C25" s="8">
        <v>2400</v>
      </c>
      <c r="D25" s="4">
        <f>SQRT(B25*4/C25/3.14159)*1000</f>
        <v>1994.7122444380184</v>
      </c>
      <c r="E25">
        <v>2000</v>
      </c>
      <c r="F25" s="4">
        <v>8</v>
      </c>
      <c r="G25" s="4">
        <f>3.14159*E25*C25*F25*7.85*2/1000000</f>
        <v>1894.0017791999996</v>
      </c>
      <c r="H25" s="4">
        <f>E25*E25*1.22*1.22*F25*7.85*2/1000000</f>
        <v>747.77215999999999</v>
      </c>
      <c r="I25" s="4">
        <f>G25*0.1</f>
        <v>189.40017791999998</v>
      </c>
      <c r="J25" s="7">
        <f>(G25+H25+I25)*E1</f>
        <v>566234.82342399983</v>
      </c>
      <c r="K25" s="4">
        <f t="shared" si="6"/>
        <v>2831.1741171199992</v>
      </c>
      <c r="L25" s="4">
        <f t="shared" si="7"/>
        <v>2264.9392936959994</v>
      </c>
      <c r="M25" s="4">
        <f t="shared" si="8"/>
        <v>5096.1134108159986</v>
      </c>
      <c r="N25" s="4">
        <f t="shared" si="9"/>
        <v>5096.1134108159986</v>
      </c>
      <c r="O25" s="9" t="s">
        <v>33</v>
      </c>
      <c r="P25" s="4">
        <f>B19*0.15/16</f>
        <v>468.75</v>
      </c>
    </row>
    <row r="26" spans="1:16" x14ac:dyDescent="0.25">
      <c r="A26" t="s">
        <v>26</v>
      </c>
      <c r="B26" s="4">
        <f>3.14159*C26*E26*E26/4000000</f>
        <v>497.74566562500002</v>
      </c>
      <c r="C26" s="8">
        <v>6000</v>
      </c>
      <c r="D26" s="4"/>
      <c r="E26">
        <v>325</v>
      </c>
      <c r="F26" s="4">
        <v>6</v>
      </c>
      <c r="G26" s="4">
        <f>3.14159*E26*C26*F26*7.85/1000000</f>
        <v>288.53933355000004</v>
      </c>
      <c r="H26" s="4">
        <f>E26*E26*1.22*1.22*F26*7.85/1000000</f>
        <v>7.4046969749999993</v>
      </c>
      <c r="I26" s="4">
        <f>G26*0.3</f>
        <v>86.561800065000014</v>
      </c>
      <c r="J26" s="7">
        <f>(G26+H26+I26)*E1</f>
        <v>76501.166118000008</v>
      </c>
      <c r="K26" s="4">
        <f t="shared" si="6"/>
        <v>382.50583059000002</v>
      </c>
      <c r="L26" s="4">
        <f t="shared" si="7"/>
        <v>306.004664472</v>
      </c>
      <c r="M26" s="4">
        <f t="shared" si="8"/>
        <v>688.51049506200002</v>
      </c>
      <c r="N26" s="4">
        <f t="shared" si="9"/>
        <v>688.51049506200002</v>
      </c>
      <c r="O26" s="9" t="s">
        <v>34</v>
      </c>
      <c r="P26" s="4">
        <f>B19*0.5/16</f>
        <v>1562.5</v>
      </c>
    </row>
    <row r="27" spans="1:16" x14ac:dyDescent="0.25">
      <c r="A27" t="s">
        <v>9</v>
      </c>
      <c r="B27">
        <v>3750</v>
      </c>
      <c r="C27" s="8">
        <v>2400</v>
      </c>
      <c r="D27" s="4">
        <f>SQRT(B27*4/C27/3.14159)*1000</f>
        <v>1410.4745545579608</v>
      </c>
      <c r="E27">
        <v>1400</v>
      </c>
      <c r="F27" s="4">
        <v>6</v>
      </c>
      <c r="G27" s="4">
        <f>3.14159*E27*C27*F27*7.85/1000000</f>
        <v>497.17546703999989</v>
      </c>
      <c r="H27" s="4">
        <f>E27*E27*1.22*1.22*F27*7.85*2/1000000</f>
        <v>274.8062688</v>
      </c>
      <c r="I27" s="4">
        <f t="shared" ref="I27:I28" si="10">G27*0.1</f>
        <v>49.717546703999993</v>
      </c>
      <c r="J27" s="7">
        <f>(G27+H27+I27)*E1*2.5</f>
        <v>410849.64127199992</v>
      </c>
      <c r="K27" s="4">
        <f t="shared" si="6"/>
        <v>821.69928254399986</v>
      </c>
      <c r="L27" s="4">
        <f t="shared" si="7"/>
        <v>657.35942603519993</v>
      </c>
      <c r="M27" s="4">
        <f t="shared" si="8"/>
        <v>1479.0587085791999</v>
      </c>
      <c r="N27" s="4">
        <f t="shared" si="9"/>
        <v>1479.0587085791999</v>
      </c>
    </row>
    <row r="28" spans="1:16" x14ac:dyDescent="0.25">
      <c r="A28" t="s">
        <v>27</v>
      </c>
      <c r="B28">
        <v>7500</v>
      </c>
      <c r="C28" s="8">
        <v>3000</v>
      </c>
      <c r="D28" s="4">
        <f>SQRT(B28*4/C28/3.14159)*1000</f>
        <v>1784.1248696458342</v>
      </c>
      <c r="E28">
        <v>1800</v>
      </c>
      <c r="F28" s="4">
        <v>8</v>
      </c>
      <c r="G28" s="4">
        <f>3.14159*E28*C28*F28*7.85*2/1000000</f>
        <v>2130.7520015999999</v>
      </c>
      <c r="H28" s="4">
        <f>E28*E28*1.22*1.22*F28*7.85*2/1000000</f>
        <v>605.69544960000007</v>
      </c>
      <c r="I28" s="4">
        <f t="shared" si="10"/>
        <v>213.07520016000001</v>
      </c>
      <c r="J28" s="7">
        <f>(G28+H28+I28)*E1</f>
        <v>589904.53027199989</v>
      </c>
      <c r="K28" s="4">
        <f t="shared" si="6"/>
        <v>2949.5226513599996</v>
      </c>
      <c r="L28" s="4">
        <f t="shared" si="7"/>
        <v>2359.618121088</v>
      </c>
      <c r="M28" s="4">
        <f t="shared" si="8"/>
        <v>5309.1407724479996</v>
      </c>
      <c r="N28" s="4">
        <f t="shared" si="9"/>
        <v>5309.1407724479996</v>
      </c>
    </row>
    <row r="29" spans="1:16" x14ac:dyDescent="0.25">
      <c r="A29" t="s">
        <v>28</v>
      </c>
      <c r="B29" s="4">
        <f>3.14159*C29*E29*E29/4000000</f>
        <v>497.74566562500002</v>
      </c>
      <c r="C29" s="8">
        <v>6000</v>
      </c>
      <c r="D29" s="4"/>
      <c r="E29">
        <v>325</v>
      </c>
      <c r="F29" s="4">
        <v>6</v>
      </c>
      <c r="G29" s="4">
        <f>3.14159*E29*C29*F29*7.85/1000000</f>
        <v>288.53933355000004</v>
      </c>
      <c r="H29" s="4">
        <f>E29*E29*1.22*1.22*F29*7.85/1000000</f>
        <v>7.4046969749999993</v>
      </c>
      <c r="I29" s="4">
        <f>G29*0.3</f>
        <v>86.561800065000014</v>
      </c>
      <c r="J29" s="7">
        <f>(G29+H29+I29)*E1</f>
        <v>76501.166118000008</v>
      </c>
      <c r="K29" s="4">
        <f t="shared" si="6"/>
        <v>382.50583059000002</v>
      </c>
      <c r="L29" s="4">
        <f t="shared" si="7"/>
        <v>306.004664472</v>
      </c>
      <c r="M29" s="4">
        <f t="shared" si="8"/>
        <v>688.51049506200002</v>
      </c>
      <c r="N29" s="4">
        <f t="shared" si="9"/>
        <v>688.51049506200002</v>
      </c>
    </row>
    <row r="30" spans="1:16" x14ac:dyDescent="0.25">
      <c r="A30" t="s">
        <v>29</v>
      </c>
      <c r="B30">
        <v>3750</v>
      </c>
      <c r="C30" s="8">
        <v>2400</v>
      </c>
      <c r="D30" s="4">
        <f>SQRT(B30*4/C30/3.14159)*1000</f>
        <v>1410.4745545579608</v>
      </c>
      <c r="E30">
        <v>1400</v>
      </c>
      <c r="F30" s="4">
        <v>8</v>
      </c>
      <c r="G30" s="4">
        <f>3.14159*E30*C30*F30*7.85/1000000</f>
        <v>662.90062271999989</v>
      </c>
      <c r="H30" s="4">
        <f>E30*E30*1.22*1.22*F30*7.85*2/1000000</f>
        <v>366.4083584</v>
      </c>
      <c r="I30" s="4">
        <f t="shared" ref="I30" si="11">G30*0.1</f>
        <v>66.290062271999986</v>
      </c>
      <c r="J30" s="7">
        <f>(G30+H30+I30)*E1</f>
        <v>219119.80867839995</v>
      </c>
      <c r="K30" s="4">
        <f t="shared" si="6"/>
        <v>1095.5990433919997</v>
      </c>
      <c r="L30" s="4">
        <f t="shared" si="7"/>
        <v>876.47923471359979</v>
      </c>
      <c r="M30" s="4">
        <f t="shared" si="8"/>
        <v>1972.0782781055996</v>
      </c>
      <c r="N30" s="4">
        <f t="shared" si="9"/>
        <v>1972.0782781055996</v>
      </c>
    </row>
    <row r="31" spans="1:16" x14ac:dyDescent="0.25">
      <c r="C31" s="8"/>
      <c r="D31" s="4"/>
      <c r="F31" s="5"/>
      <c r="G31" s="5"/>
      <c r="H31" s="5"/>
      <c r="I31" s="5" t="s">
        <v>15</v>
      </c>
      <c r="J31" s="7">
        <f>SUM(J21:J30)</f>
        <v>3044116.7387163495</v>
      </c>
      <c r="K31" s="9"/>
      <c r="L31" s="4"/>
      <c r="M31" s="5"/>
      <c r="O31" s="5"/>
    </row>
    <row r="32" spans="1:16" x14ac:dyDescent="0.25">
      <c r="A32" t="s">
        <v>40</v>
      </c>
      <c r="E32" t="s">
        <v>39</v>
      </c>
      <c r="F32">
        <f>B19*80/24*5</f>
        <v>833333.33333333326</v>
      </c>
      <c r="G32">
        <v>1000000</v>
      </c>
      <c r="H32" s="5"/>
      <c r="I32" s="5"/>
      <c r="J32" s="7"/>
      <c r="K32" s="9"/>
      <c r="L32" s="4"/>
    </row>
    <row r="33" spans="1:16" x14ac:dyDescent="0.25">
      <c r="A33" t="s">
        <v>17</v>
      </c>
      <c r="E33" t="s">
        <v>20</v>
      </c>
      <c r="G33" s="4">
        <f>F32*0.2/3/60</f>
        <v>925.92592592592587</v>
      </c>
      <c r="H33" s="5"/>
      <c r="I33" s="5"/>
      <c r="J33" s="7"/>
      <c r="K33" s="9"/>
      <c r="L33" s="4"/>
    </row>
    <row r="34" spans="1:16" x14ac:dyDescent="0.25">
      <c r="A34" s="27"/>
      <c r="B34" s="27"/>
      <c r="C34" s="27"/>
      <c r="D34" s="27"/>
    </row>
    <row r="35" spans="1:16" x14ac:dyDescent="0.25">
      <c r="A35" t="s">
        <v>36</v>
      </c>
      <c r="B35">
        <v>30000</v>
      </c>
      <c r="C35" t="s">
        <v>37</v>
      </c>
    </row>
    <row r="36" spans="1:16" ht="60" x14ac:dyDescent="0.25">
      <c r="A36" s="27" t="s">
        <v>114</v>
      </c>
      <c r="B36" s="27" t="s">
        <v>35</v>
      </c>
      <c r="C36" s="27" t="s">
        <v>4</v>
      </c>
      <c r="D36" s="27" t="s">
        <v>5</v>
      </c>
      <c r="E36" s="27" t="s">
        <v>6</v>
      </c>
      <c r="F36" s="27" t="s">
        <v>10</v>
      </c>
      <c r="G36" s="27" t="s">
        <v>113</v>
      </c>
      <c r="H36" s="27" t="s">
        <v>14</v>
      </c>
      <c r="I36" s="27" t="s">
        <v>115</v>
      </c>
      <c r="J36" s="10" t="s">
        <v>13</v>
      </c>
      <c r="K36" s="27" t="s">
        <v>47</v>
      </c>
      <c r="L36" s="27" t="s">
        <v>49</v>
      </c>
      <c r="M36" s="27" t="s">
        <v>48</v>
      </c>
      <c r="N36" s="27" t="s">
        <v>50</v>
      </c>
      <c r="O36" s="27" t="s">
        <v>22</v>
      </c>
      <c r="P36" s="27" t="s">
        <v>38</v>
      </c>
    </row>
    <row r="37" spans="1:16" x14ac:dyDescent="0.25">
      <c r="A37" s="3" t="s">
        <v>2</v>
      </c>
      <c r="B37">
        <v>2250</v>
      </c>
      <c r="C37">
        <v>1500</v>
      </c>
      <c r="D37" s="4">
        <f>SQRT(B37*4/C37/3.14159)*1000</f>
        <v>1381.9771815385591</v>
      </c>
      <c r="E37">
        <v>1400</v>
      </c>
      <c r="F37" s="4">
        <v>4</v>
      </c>
      <c r="G37" s="4">
        <f>3.14159*E37*C37*F37*7.85/1000000</f>
        <v>207.15644459999996</v>
      </c>
      <c r="H37" s="4">
        <f>E37*E37*1.22*1.22*F37*7.85*2/1000000</f>
        <v>183.2041792</v>
      </c>
      <c r="I37" s="4">
        <f>G37*0.05</f>
        <v>10.357822229999998</v>
      </c>
      <c r="J37" s="7">
        <f>(G37+H37+I37)*E1</f>
        <v>80143.689205999995</v>
      </c>
      <c r="K37" s="4">
        <f t="shared" ref="K37:K46" si="12">G37+H37+I37</f>
        <v>400.71844603</v>
      </c>
      <c r="L37" s="4">
        <f>K37*0.8</f>
        <v>320.57475682400002</v>
      </c>
      <c r="M37" s="4">
        <f>K37+L37</f>
        <v>721.29320285400001</v>
      </c>
      <c r="N37" s="4">
        <f>M37</f>
        <v>721.29320285400001</v>
      </c>
      <c r="O37" s="9" t="s">
        <v>30</v>
      </c>
      <c r="P37" s="4">
        <f>B35*0.95/16</f>
        <v>1781.25</v>
      </c>
    </row>
    <row r="38" spans="1:16" x14ac:dyDescent="0.25">
      <c r="A38" t="s">
        <v>24</v>
      </c>
      <c r="B38">
        <v>9000</v>
      </c>
      <c r="C38">
        <v>2400</v>
      </c>
      <c r="D38" s="4">
        <f>SQRT(B38*4/C38/3.14159)*1000</f>
        <v>2185.0977840209225</v>
      </c>
      <c r="E38">
        <v>2200</v>
      </c>
      <c r="F38" s="4">
        <v>8</v>
      </c>
      <c r="G38" s="4">
        <f>3.14159*E38*C38*F38*7.85*2/1000000</f>
        <v>2083.4019571199997</v>
      </c>
      <c r="H38" s="4">
        <f>E38*E38*1.22*1.22*F38*7.85*2/1000000</f>
        <v>904.80431359999989</v>
      </c>
      <c r="I38" s="4">
        <f>G38*0.05</f>
        <v>104.17009785599998</v>
      </c>
      <c r="J38" s="7">
        <f>(G38+H38+I38)*E1</f>
        <v>618475.2737151999</v>
      </c>
      <c r="K38" s="4">
        <f t="shared" si="12"/>
        <v>3092.3763685759995</v>
      </c>
      <c r="L38" s="4">
        <f t="shared" ref="L38:L46" si="13">K38*0.8</f>
        <v>2473.9010948607997</v>
      </c>
      <c r="M38" s="4">
        <f t="shared" ref="M38:M46" si="14">K38+L38</f>
        <v>5566.2774634367997</v>
      </c>
      <c r="N38" s="4">
        <f t="shared" ref="N38:N46" si="15">M38</f>
        <v>5566.2774634367997</v>
      </c>
      <c r="O38" s="9" t="s">
        <v>31</v>
      </c>
      <c r="P38" s="4">
        <f>B35*0.15/16</f>
        <v>281.25</v>
      </c>
    </row>
    <row r="39" spans="1:16" x14ac:dyDescent="0.25">
      <c r="A39" t="s">
        <v>7</v>
      </c>
      <c r="B39" s="4">
        <f>3.14159*C39*E39*E39/4000000</f>
        <v>248.87283281250001</v>
      </c>
      <c r="C39">
        <v>3000</v>
      </c>
      <c r="D39" s="4"/>
      <c r="E39">
        <v>325</v>
      </c>
      <c r="F39" s="4">
        <v>6</v>
      </c>
      <c r="G39" s="4">
        <f>3.14159*E39*C39*F39*7.85/1000000</f>
        <v>144.26966677500002</v>
      </c>
      <c r="H39" s="4">
        <f>E39*E39*1.22*1.22*F39*7.85/1000000</f>
        <v>7.4046969749999993</v>
      </c>
      <c r="I39" s="4">
        <f>G39*0.3</f>
        <v>43.280900032500007</v>
      </c>
      <c r="J39" s="7">
        <f>(G39+H39+I39)*E1*1.5</f>
        <v>58486.579134750013</v>
      </c>
      <c r="K39" s="4">
        <f t="shared" si="12"/>
        <v>194.95526378250003</v>
      </c>
      <c r="L39" s="4">
        <f t="shared" si="13"/>
        <v>155.96421102600004</v>
      </c>
      <c r="M39" s="4">
        <f t="shared" si="14"/>
        <v>350.91947480850007</v>
      </c>
      <c r="N39" s="4">
        <f t="shared" si="15"/>
        <v>350.91947480850007</v>
      </c>
      <c r="O39" s="9" t="s">
        <v>32</v>
      </c>
      <c r="P39" s="4">
        <f>B35*0.5/16</f>
        <v>937.5</v>
      </c>
    </row>
    <row r="40" spans="1:16" x14ac:dyDescent="0.25">
      <c r="A40" t="s">
        <v>25</v>
      </c>
      <c r="B40">
        <v>900</v>
      </c>
      <c r="C40">
        <v>1200</v>
      </c>
      <c r="D40" s="4">
        <f>SQRT(B40*4/C40/3.14159)*1000</f>
        <v>977.20543651098751</v>
      </c>
      <c r="E40">
        <v>1000</v>
      </c>
      <c r="F40" s="4">
        <v>6</v>
      </c>
      <c r="G40" s="4">
        <f>3.14159*E40*C40*F40*7.85/1000000</f>
        <v>177.56266679999996</v>
      </c>
      <c r="H40" s="4">
        <f>E40*E40*1.22*1.22*F40*7.85*2/1000000</f>
        <v>140.20728</v>
      </c>
      <c r="I40" s="4">
        <f>G40*0.05</f>
        <v>8.878133339999998</v>
      </c>
      <c r="J40" s="7">
        <f>(G40+H40+I40)*E1</f>
        <v>65329.616027999989</v>
      </c>
      <c r="K40" s="4">
        <f t="shared" si="12"/>
        <v>326.64808013999993</v>
      </c>
      <c r="L40" s="4">
        <f t="shared" si="13"/>
        <v>261.31846411199996</v>
      </c>
      <c r="M40" s="4">
        <f t="shared" si="14"/>
        <v>587.96654425199995</v>
      </c>
      <c r="N40" s="4">
        <f t="shared" si="15"/>
        <v>587.96654425199995</v>
      </c>
      <c r="O40" s="9" t="s">
        <v>23</v>
      </c>
      <c r="P40" s="4">
        <f>B35*0.5/16</f>
        <v>937.5</v>
      </c>
    </row>
    <row r="41" spans="1:16" x14ac:dyDescent="0.25">
      <c r="A41" t="s">
        <v>8</v>
      </c>
      <c r="B41">
        <v>4500</v>
      </c>
      <c r="C41" s="8">
        <v>2000</v>
      </c>
      <c r="D41" s="4">
        <f>SQRT(B41*4/C41/3.14159)*1000</f>
        <v>1692.5694654695531</v>
      </c>
      <c r="E41">
        <v>1700</v>
      </c>
      <c r="F41" s="4">
        <v>8</v>
      </c>
      <c r="G41" s="4">
        <f>3.14159*E41*C41*F41*7.85*2/1000000</f>
        <v>1341.5845935999996</v>
      </c>
      <c r="H41" s="4">
        <f>E41*E41*1.22*1.22*F41*7.85*2/1000000</f>
        <v>540.26538560000006</v>
      </c>
      <c r="I41" s="4">
        <f>G41*0.1</f>
        <v>134.15845935999997</v>
      </c>
      <c r="J41" s="7">
        <f>(G41+H41+I41)*E1</f>
        <v>403201.68771199998</v>
      </c>
      <c r="K41" s="4">
        <f t="shared" si="12"/>
        <v>2016.0084385599998</v>
      </c>
      <c r="L41" s="4">
        <f t="shared" si="13"/>
        <v>1612.8067508479999</v>
      </c>
      <c r="M41" s="4">
        <f t="shared" si="14"/>
        <v>3628.8151894079997</v>
      </c>
      <c r="N41" s="4">
        <f t="shared" si="15"/>
        <v>3628.8151894079997</v>
      </c>
      <c r="O41" s="9" t="s">
        <v>33</v>
      </c>
      <c r="P41" s="4">
        <f>B35*0.15/16</f>
        <v>281.25</v>
      </c>
    </row>
    <row r="42" spans="1:16" x14ac:dyDescent="0.25">
      <c r="A42" t="s">
        <v>26</v>
      </c>
      <c r="B42" s="4">
        <f>3.14159*C42*E42*E42/4000000</f>
        <v>497.74566562500002</v>
      </c>
      <c r="C42" s="8">
        <v>6000</v>
      </c>
      <c r="D42" s="4"/>
      <c r="E42">
        <v>325</v>
      </c>
      <c r="F42" s="4">
        <v>6</v>
      </c>
      <c r="G42" s="4">
        <f>3.14159*E42*C42*F42*7.85/1000000</f>
        <v>288.53933355000004</v>
      </c>
      <c r="H42" s="4">
        <f>E42*E42*1.22*1.22*F42*7.85/1000000</f>
        <v>7.4046969749999993</v>
      </c>
      <c r="I42" s="4">
        <f>G42*0.3</f>
        <v>86.561800065000014</v>
      </c>
      <c r="J42" s="7">
        <f>(G42+H42+I42)*E1</f>
        <v>76501.166118000008</v>
      </c>
      <c r="K42" s="4">
        <f t="shared" si="12"/>
        <v>382.50583059000002</v>
      </c>
      <c r="L42" s="4">
        <f t="shared" si="13"/>
        <v>306.004664472</v>
      </c>
      <c r="M42" s="4">
        <f t="shared" si="14"/>
        <v>688.51049506200002</v>
      </c>
      <c r="N42" s="4">
        <f t="shared" si="15"/>
        <v>688.51049506200002</v>
      </c>
      <c r="O42" s="9" t="s">
        <v>34</v>
      </c>
      <c r="P42" s="4">
        <f>B35*0.5/16</f>
        <v>937.5</v>
      </c>
    </row>
    <row r="43" spans="1:16" x14ac:dyDescent="0.25">
      <c r="A43" t="s">
        <v>9</v>
      </c>
      <c r="B43">
        <v>2250</v>
      </c>
      <c r="C43" s="8">
        <v>1500</v>
      </c>
      <c r="D43" s="4">
        <f>SQRT(B43*4/C43/3.14159)*1000</f>
        <v>1381.9771815385591</v>
      </c>
      <c r="E43">
        <v>1400</v>
      </c>
      <c r="F43" s="4">
        <v>6</v>
      </c>
      <c r="G43" s="4">
        <f>3.14159*E43*C43*F43*7.85/1000000</f>
        <v>310.73466689999992</v>
      </c>
      <c r="H43" s="4">
        <f>E43*E43*1.22*1.22*F43*7.85*2/1000000</f>
        <v>274.8062688</v>
      </c>
      <c r="I43" s="4">
        <f t="shared" ref="I43:I44" si="16">G43*0.1</f>
        <v>31.073466689999993</v>
      </c>
      <c r="J43" s="7">
        <f>(G43+H43+I43)*E1*2.5</f>
        <v>308307.20119499997</v>
      </c>
      <c r="K43" s="4">
        <f t="shared" si="12"/>
        <v>616.6144023899999</v>
      </c>
      <c r="L43" s="4">
        <f t="shared" si="13"/>
        <v>493.29152191199995</v>
      </c>
      <c r="M43" s="4">
        <f t="shared" si="14"/>
        <v>1109.9059243019999</v>
      </c>
      <c r="N43" s="4">
        <f t="shared" si="15"/>
        <v>1109.9059243019999</v>
      </c>
    </row>
    <row r="44" spans="1:16" x14ac:dyDescent="0.25">
      <c r="A44" t="s">
        <v>27</v>
      </c>
      <c r="B44">
        <v>4500</v>
      </c>
      <c r="C44" s="8">
        <v>2000</v>
      </c>
      <c r="D44" s="4">
        <f>SQRT(B44*4/C44/3.14159)*1000</f>
        <v>1692.5694654695531</v>
      </c>
      <c r="E44">
        <v>1700</v>
      </c>
      <c r="F44" s="4">
        <v>8</v>
      </c>
      <c r="G44" s="4">
        <f>3.14159*E44*C44*F44*7.85*2/1000000</f>
        <v>1341.5845935999996</v>
      </c>
      <c r="H44" s="4">
        <f>E44*E44*1.22*1.22*F44*7.85*2/1000000</f>
        <v>540.26538560000006</v>
      </c>
      <c r="I44" s="4">
        <f t="shared" si="16"/>
        <v>134.15845935999997</v>
      </c>
      <c r="J44" s="7">
        <f>(G44+H44+I44)*E1</f>
        <v>403201.68771199998</v>
      </c>
      <c r="K44" s="4">
        <f t="shared" si="12"/>
        <v>2016.0084385599998</v>
      </c>
      <c r="L44" s="4">
        <f t="shared" si="13"/>
        <v>1612.8067508479999</v>
      </c>
      <c r="M44" s="4">
        <f t="shared" si="14"/>
        <v>3628.8151894079997</v>
      </c>
      <c r="N44" s="4">
        <f t="shared" si="15"/>
        <v>3628.8151894079997</v>
      </c>
    </row>
    <row r="45" spans="1:16" x14ac:dyDescent="0.25">
      <c r="A45" t="s">
        <v>28</v>
      </c>
      <c r="B45" s="4">
        <f>3.14159*C45*E45*E45/4000000</f>
        <v>497.74566562500002</v>
      </c>
      <c r="C45" s="8">
        <v>6000</v>
      </c>
      <c r="D45" s="4"/>
      <c r="E45">
        <v>325</v>
      </c>
      <c r="F45" s="4">
        <v>6</v>
      </c>
      <c r="G45" s="4">
        <f>3.14159*E45*C45*F45*7.85/1000000</f>
        <v>288.53933355000004</v>
      </c>
      <c r="H45" s="4">
        <f>E45*E45*1.22*1.22*F45*7.85/1000000</f>
        <v>7.4046969749999993</v>
      </c>
      <c r="I45" s="4">
        <f>G45*0.3</f>
        <v>86.561800065000014</v>
      </c>
      <c r="J45" s="7">
        <f>(G45+H45+I45)*E1</f>
        <v>76501.166118000008</v>
      </c>
      <c r="K45" s="4">
        <f t="shared" si="12"/>
        <v>382.50583059000002</v>
      </c>
      <c r="L45" s="4">
        <f t="shared" si="13"/>
        <v>306.004664472</v>
      </c>
      <c r="M45" s="4">
        <f t="shared" si="14"/>
        <v>688.51049506200002</v>
      </c>
      <c r="N45" s="4">
        <f t="shared" si="15"/>
        <v>688.51049506200002</v>
      </c>
    </row>
    <row r="46" spans="1:16" x14ac:dyDescent="0.25">
      <c r="A46" t="s">
        <v>29</v>
      </c>
      <c r="B46">
        <v>2250</v>
      </c>
      <c r="C46" s="8">
        <v>1500</v>
      </c>
      <c r="D46" s="4">
        <f>SQRT(B46*4/C46/3.14159)*1000</f>
        <v>1381.9771815385591</v>
      </c>
      <c r="E46">
        <v>1400</v>
      </c>
      <c r="F46" s="4">
        <v>8</v>
      </c>
      <c r="G46" s="4">
        <f>3.14159*E46*C46*F46*7.85/1000000</f>
        <v>414.31288919999992</v>
      </c>
      <c r="H46" s="4">
        <f>E46*E46*1.22*1.22*F46*7.85*2/1000000</f>
        <v>366.4083584</v>
      </c>
      <c r="I46" s="4">
        <f t="shared" ref="I46" si="17">G46*0.1</f>
        <v>41.431288919999993</v>
      </c>
      <c r="J46" s="7">
        <f>(G46+H46+I46)*E1</f>
        <v>164430.507304</v>
      </c>
      <c r="K46" s="4">
        <f t="shared" si="12"/>
        <v>822.15253652000001</v>
      </c>
      <c r="L46" s="4">
        <f t="shared" si="13"/>
        <v>657.72202921600001</v>
      </c>
      <c r="M46" s="4">
        <f t="shared" si="14"/>
        <v>1479.874565736</v>
      </c>
      <c r="N46" s="4">
        <f t="shared" si="15"/>
        <v>1479.874565736</v>
      </c>
    </row>
    <row r="47" spans="1:16" x14ac:dyDescent="0.25">
      <c r="A47" t="s">
        <v>40</v>
      </c>
      <c r="E47" t="s">
        <v>39</v>
      </c>
      <c r="F47">
        <f>B35*80/24*5</f>
        <v>500000</v>
      </c>
      <c r="H47" s="5"/>
      <c r="I47" s="5" t="s">
        <v>15</v>
      </c>
      <c r="J47" s="7">
        <f>SUM(J37:J46)</f>
        <v>2254578.57424295</v>
      </c>
      <c r="K47" s="9"/>
      <c r="L47" s="4"/>
    </row>
    <row r="48" spans="1:16" x14ac:dyDescent="0.25">
      <c r="A48" t="s">
        <v>17</v>
      </c>
      <c r="E48" t="s">
        <v>20</v>
      </c>
      <c r="F48" s="4">
        <f>F47*0.2/3/60</f>
        <v>555.55555555555554</v>
      </c>
      <c r="H48" s="5"/>
      <c r="I48" s="5"/>
      <c r="J48" s="7"/>
      <c r="K48" s="9"/>
      <c r="L48" s="4"/>
    </row>
    <row r="49" spans="1:16" x14ac:dyDescent="0.25">
      <c r="A49" s="27"/>
      <c r="B49" s="27"/>
      <c r="C49" s="27"/>
      <c r="D49" s="27"/>
    </row>
    <row r="50" spans="1:16" x14ac:dyDescent="0.25">
      <c r="A50" t="s">
        <v>36</v>
      </c>
      <c r="B50">
        <v>10000</v>
      </c>
      <c r="C50" t="s">
        <v>37</v>
      </c>
    </row>
    <row r="51" spans="1:16" ht="60" x14ac:dyDescent="0.25">
      <c r="A51" s="27" t="s">
        <v>114</v>
      </c>
      <c r="B51" s="27" t="s">
        <v>35</v>
      </c>
      <c r="C51" s="27" t="s">
        <v>4</v>
      </c>
      <c r="D51" s="27" t="s">
        <v>5</v>
      </c>
      <c r="E51" s="27" t="s">
        <v>6</v>
      </c>
      <c r="F51" s="27" t="s">
        <v>10</v>
      </c>
      <c r="G51" s="27" t="s">
        <v>113</v>
      </c>
      <c r="H51" s="27" t="s">
        <v>14</v>
      </c>
      <c r="I51" s="27" t="s">
        <v>115</v>
      </c>
      <c r="J51" s="10" t="s">
        <v>13</v>
      </c>
      <c r="K51" s="27" t="s">
        <v>47</v>
      </c>
      <c r="L51" s="27" t="s">
        <v>49</v>
      </c>
      <c r="M51" s="27" t="s">
        <v>48</v>
      </c>
      <c r="N51" s="27" t="s">
        <v>50</v>
      </c>
      <c r="O51" s="27" t="s">
        <v>22</v>
      </c>
      <c r="P51" s="27" t="s">
        <v>38</v>
      </c>
    </row>
    <row r="52" spans="1:16" x14ac:dyDescent="0.25">
      <c r="A52" s="3" t="s">
        <v>2</v>
      </c>
      <c r="B52">
        <v>750</v>
      </c>
      <c r="C52">
        <v>1200</v>
      </c>
      <c r="D52" s="4">
        <f>SQRT(B52*4/C52/3.14159)*1000</f>
        <v>892.06243482291711</v>
      </c>
      <c r="E52">
        <v>900</v>
      </c>
      <c r="F52" s="4">
        <v>4</v>
      </c>
      <c r="G52" s="4">
        <f>3.14159*E52*C52*F52*7.85/1000000</f>
        <v>106.53760008</v>
      </c>
      <c r="H52" s="4">
        <f>E52*E52*1.22*1.22*F52*7.85*2/1000000</f>
        <v>75.711931200000009</v>
      </c>
      <c r="I52" s="4">
        <f>G52*0.05</f>
        <v>5.3268800040000004</v>
      </c>
      <c r="J52" s="7">
        <f>(G52+H52+I52)*E1</f>
        <v>37515.282256800005</v>
      </c>
      <c r="K52" s="4">
        <f t="shared" ref="K52:K61" si="18">G52+H52+I52</f>
        <v>187.57641128400002</v>
      </c>
      <c r="L52" s="4">
        <f>K52*0.8</f>
        <v>150.06112902720002</v>
      </c>
      <c r="M52" s="4">
        <f>K52+L52</f>
        <v>337.63754031120004</v>
      </c>
      <c r="N52" s="4">
        <f>M52</f>
        <v>337.63754031120004</v>
      </c>
      <c r="O52" s="9" t="s">
        <v>30</v>
      </c>
      <c r="P52" s="4">
        <f>B50*0.95/16</f>
        <v>593.75</v>
      </c>
    </row>
    <row r="53" spans="1:16" x14ac:dyDescent="0.25">
      <c r="A53" t="s">
        <v>24</v>
      </c>
      <c r="B53">
        <v>3000</v>
      </c>
      <c r="C53">
        <v>1750</v>
      </c>
      <c r="D53" s="4">
        <f>SQRT(B53*4/C53/3.14159)*1000</f>
        <v>1477.395751330509</v>
      </c>
      <c r="E53">
        <v>1500</v>
      </c>
      <c r="F53" s="4">
        <v>8</v>
      </c>
      <c r="G53" s="4">
        <f>3.14159*E53*C53*F53*7.85*2/1000000</f>
        <v>1035.7822229999999</v>
      </c>
      <c r="H53" s="4">
        <f>E53*E53*1.22*1.22*F53*7.85*2/1000000</f>
        <v>420.62184000000002</v>
      </c>
      <c r="I53" s="4">
        <f>G53*0.05</f>
        <v>51.789111149999997</v>
      </c>
      <c r="J53" s="7">
        <f>(G53+H53+I53)*E1</f>
        <v>301638.63483</v>
      </c>
      <c r="K53" s="4">
        <f t="shared" si="18"/>
        <v>1508.19317415</v>
      </c>
      <c r="L53" s="4">
        <f t="shared" ref="L53:L61" si="19">K53*0.8</f>
        <v>1206.55453932</v>
      </c>
      <c r="M53" s="4">
        <f t="shared" ref="M53:M61" si="20">K53+L53</f>
        <v>2714.7477134700002</v>
      </c>
      <c r="N53" s="4">
        <f t="shared" ref="N53:N61" si="21">M53</f>
        <v>2714.7477134700002</v>
      </c>
      <c r="O53" s="9" t="s">
        <v>31</v>
      </c>
      <c r="P53" s="4">
        <f>B50*0.15/16</f>
        <v>93.75</v>
      </c>
    </row>
    <row r="54" spans="1:16" x14ac:dyDescent="0.25">
      <c r="A54" t="s">
        <v>7</v>
      </c>
      <c r="B54" s="4">
        <f>3.14159*C54*E54*E54/4000000</f>
        <v>248.87283281250001</v>
      </c>
      <c r="C54">
        <v>3000</v>
      </c>
      <c r="D54" s="4"/>
      <c r="E54">
        <v>325</v>
      </c>
      <c r="F54" s="4">
        <v>6</v>
      </c>
      <c r="G54" s="4">
        <f>3.14159*E54*C54*F54*7.85/1000000</f>
        <v>144.26966677500002</v>
      </c>
      <c r="H54" s="4">
        <f>E54*E54*1.22*1.22*F54*7.85/1000000</f>
        <v>7.4046969749999993</v>
      </c>
      <c r="I54" s="4">
        <f>G54*0.3</f>
        <v>43.280900032500007</v>
      </c>
      <c r="J54" s="7">
        <f>(G54+H54+I54)*E1*1.5</f>
        <v>58486.579134750013</v>
      </c>
      <c r="K54" s="4">
        <f t="shared" si="18"/>
        <v>194.95526378250003</v>
      </c>
      <c r="L54" s="4">
        <f t="shared" si="19"/>
        <v>155.96421102600004</v>
      </c>
      <c r="M54" s="4">
        <f t="shared" si="20"/>
        <v>350.91947480850007</v>
      </c>
      <c r="N54" s="4">
        <f t="shared" si="21"/>
        <v>350.91947480850007</v>
      </c>
      <c r="O54" s="9" t="s">
        <v>32</v>
      </c>
      <c r="P54" s="4">
        <f>B50*0.5/16</f>
        <v>312.5</v>
      </c>
    </row>
    <row r="55" spans="1:16" x14ac:dyDescent="0.25">
      <c r="A55" t="s">
        <v>25</v>
      </c>
      <c r="B55">
        <v>300</v>
      </c>
      <c r="C55">
        <v>700</v>
      </c>
      <c r="D55" s="4">
        <f>SQRT(B55*4/C55/3.14159)*1000</f>
        <v>738.69787566525451</v>
      </c>
      <c r="E55">
        <v>750</v>
      </c>
      <c r="F55" s="4">
        <v>6</v>
      </c>
      <c r="G55" s="4">
        <f>3.14159*E55*C55*F55*7.85/1000000</f>
        <v>77.683666724999995</v>
      </c>
      <c r="H55" s="4">
        <f>E55*E55*1.22*1.22*F55*7.85*2/1000000</f>
        <v>78.866595000000004</v>
      </c>
      <c r="I55" s="4">
        <f>G55*0.05</f>
        <v>3.88418333625</v>
      </c>
      <c r="J55" s="7">
        <f>(G55+H55+I55)*E1</f>
        <v>32086.889012249998</v>
      </c>
      <c r="K55" s="4">
        <f t="shared" si="18"/>
        <v>160.43444506124999</v>
      </c>
      <c r="L55" s="4">
        <f t="shared" si="19"/>
        <v>128.34755604899999</v>
      </c>
      <c r="M55" s="4">
        <f t="shared" si="20"/>
        <v>288.78200111025001</v>
      </c>
      <c r="N55" s="4">
        <f t="shared" si="21"/>
        <v>288.78200111025001</v>
      </c>
      <c r="O55" s="9" t="s">
        <v>23</v>
      </c>
      <c r="P55" s="4">
        <f>B50*0.5/16</f>
        <v>312.5</v>
      </c>
    </row>
    <row r="56" spans="1:16" x14ac:dyDescent="0.25">
      <c r="A56" t="s">
        <v>8</v>
      </c>
      <c r="B56">
        <v>1500</v>
      </c>
      <c r="C56" s="8">
        <v>1750</v>
      </c>
      <c r="D56" s="4">
        <f>SQRT(B56*4/C56/3.14159)*1000</f>
        <v>1044.6765542619971</v>
      </c>
      <c r="E56">
        <v>1000</v>
      </c>
      <c r="F56" s="4">
        <v>8</v>
      </c>
      <c r="G56" s="4">
        <f>3.14159*E56*C56*F56*7.85*2/1000000</f>
        <v>690.52148199999988</v>
      </c>
      <c r="H56" s="4">
        <f>E56*E56*1.22*1.22*F56*7.85*2/1000000</f>
        <v>186.94304</v>
      </c>
      <c r="I56" s="4">
        <f>G56*0.1</f>
        <v>69.052148199999991</v>
      </c>
      <c r="J56" s="7">
        <f>(G56+H56+I56)*E1</f>
        <v>189303.33403999999</v>
      </c>
      <c r="K56" s="4">
        <f t="shared" si="18"/>
        <v>946.51667019999991</v>
      </c>
      <c r="L56" s="4">
        <f t="shared" si="19"/>
        <v>757.21333615999993</v>
      </c>
      <c r="M56" s="4">
        <f t="shared" si="20"/>
        <v>1703.7300063599998</v>
      </c>
      <c r="N56" s="4">
        <f t="shared" si="21"/>
        <v>1703.7300063599998</v>
      </c>
      <c r="O56" s="9" t="s">
        <v>33</v>
      </c>
      <c r="P56" s="4">
        <f>B50*0.15/16</f>
        <v>93.75</v>
      </c>
    </row>
    <row r="57" spans="1:16" x14ac:dyDescent="0.25">
      <c r="A57" t="s">
        <v>26</v>
      </c>
      <c r="B57" s="4">
        <f>3.14159*C57*E57*E57/4000000</f>
        <v>497.74566562500002</v>
      </c>
      <c r="C57" s="8">
        <v>6000</v>
      </c>
      <c r="D57" s="4"/>
      <c r="E57">
        <v>325</v>
      </c>
      <c r="F57" s="4">
        <v>6</v>
      </c>
      <c r="G57" s="4">
        <f>3.14159*E57*C57*F57*7.85/1000000</f>
        <v>288.53933355000004</v>
      </c>
      <c r="H57" s="4">
        <f>E57*E57*1.22*1.22*F57*7.85/1000000</f>
        <v>7.4046969749999993</v>
      </c>
      <c r="I57" s="4">
        <f>G57*0.3</f>
        <v>86.561800065000014</v>
      </c>
      <c r="J57" s="7">
        <f>(G57+H57+I57)*E1</f>
        <v>76501.166118000008</v>
      </c>
      <c r="K57" s="4">
        <f t="shared" si="18"/>
        <v>382.50583059000002</v>
      </c>
      <c r="L57" s="4">
        <f t="shared" si="19"/>
        <v>306.004664472</v>
      </c>
      <c r="M57" s="4">
        <f t="shared" si="20"/>
        <v>688.51049506200002</v>
      </c>
      <c r="N57" s="4">
        <f t="shared" si="21"/>
        <v>688.51049506200002</v>
      </c>
      <c r="O57" s="9" t="s">
        <v>34</v>
      </c>
      <c r="P57" s="4">
        <f>B50*0.5/16</f>
        <v>312.5</v>
      </c>
    </row>
    <row r="58" spans="1:16" x14ac:dyDescent="0.25">
      <c r="A58" t="s">
        <v>9</v>
      </c>
      <c r="B58">
        <v>750</v>
      </c>
      <c r="C58" s="8">
        <v>1200</v>
      </c>
      <c r="D58" s="4">
        <f>SQRT(B58*4/C58/3.14159)*1000</f>
        <v>892.06243482291711</v>
      </c>
      <c r="E58">
        <v>900</v>
      </c>
      <c r="F58" s="4">
        <v>6</v>
      </c>
      <c r="G58" s="4">
        <f>3.14159*E58*C58*F58*7.85/1000000</f>
        <v>159.80640012000001</v>
      </c>
      <c r="H58" s="4">
        <f>E58*E58*1.22*1.22*F58*7.85*2/1000000</f>
        <v>113.5678968</v>
      </c>
      <c r="I58" s="4">
        <f t="shared" ref="I58:I61" si="22">G58*0.1</f>
        <v>15.980640012000002</v>
      </c>
      <c r="J58" s="7">
        <f>(G58+H58+I58)*E1*2.5</f>
        <v>144677.46846599999</v>
      </c>
      <c r="K58" s="4">
        <f t="shared" si="18"/>
        <v>289.35493693199999</v>
      </c>
      <c r="L58" s="4">
        <f t="shared" si="19"/>
        <v>231.48394954560001</v>
      </c>
      <c r="M58" s="4">
        <f t="shared" si="20"/>
        <v>520.8388864776</v>
      </c>
      <c r="N58" s="4">
        <f t="shared" si="21"/>
        <v>520.8388864776</v>
      </c>
    </row>
    <row r="59" spans="1:16" x14ac:dyDescent="0.25">
      <c r="A59" t="s">
        <v>27</v>
      </c>
      <c r="B59">
        <v>1500</v>
      </c>
      <c r="C59" s="8">
        <v>1750</v>
      </c>
      <c r="D59" s="4">
        <f>SQRT(B59*4/C59/3.14159)*1000</f>
        <v>1044.6765542619971</v>
      </c>
      <c r="E59">
        <v>1000</v>
      </c>
      <c r="F59" s="4">
        <v>8</v>
      </c>
      <c r="G59" s="4">
        <f>3.14159*E59*C59*F59*7.85*2/1000000</f>
        <v>690.52148199999988</v>
      </c>
      <c r="H59" s="4">
        <f>E59*E59*1.22*1.22*F59*7.85*2/1000000</f>
        <v>186.94304</v>
      </c>
      <c r="I59" s="4">
        <f t="shared" si="22"/>
        <v>69.052148199999991</v>
      </c>
      <c r="J59" s="7">
        <f>(G59+H59+I59)*E1</f>
        <v>189303.33403999999</v>
      </c>
      <c r="K59" s="4">
        <f t="shared" si="18"/>
        <v>946.51667019999991</v>
      </c>
      <c r="L59" s="4">
        <f t="shared" si="19"/>
        <v>757.21333615999993</v>
      </c>
      <c r="M59" s="4">
        <f t="shared" si="20"/>
        <v>1703.7300063599998</v>
      </c>
      <c r="N59" s="4">
        <f t="shared" si="21"/>
        <v>1703.7300063599998</v>
      </c>
    </row>
    <row r="60" spans="1:16" x14ac:dyDescent="0.25">
      <c r="A60" t="s">
        <v>28</v>
      </c>
      <c r="B60" s="4">
        <f>3.14159*C60*E60*E60/4000000</f>
        <v>497.74566562500002</v>
      </c>
      <c r="C60" s="8">
        <v>6000</v>
      </c>
      <c r="D60" s="4"/>
      <c r="E60">
        <v>325</v>
      </c>
      <c r="F60" s="4">
        <v>6</v>
      </c>
      <c r="G60" s="4">
        <f>3.14159*E60*C60*F60*7.85/1000000</f>
        <v>288.53933355000004</v>
      </c>
      <c r="H60" s="4">
        <f>E60*E60*1.22*1.22*F60*7.85/1000000</f>
        <v>7.4046969749999993</v>
      </c>
      <c r="I60" s="4">
        <f>G60*0.3</f>
        <v>86.561800065000014</v>
      </c>
      <c r="J60" s="7">
        <f>(G60+H60+I60)*E1</f>
        <v>76501.166118000008</v>
      </c>
      <c r="K60" s="4">
        <f t="shared" si="18"/>
        <v>382.50583059000002</v>
      </c>
      <c r="L60" s="4">
        <f t="shared" si="19"/>
        <v>306.004664472</v>
      </c>
      <c r="M60" s="4">
        <f t="shared" si="20"/>
        <v>688.51049506200002</v>
      </c>
      <c r="N60" s="4">
        <f t="shared" si="21"/>
        <v>688.51049506200002</v>
      </c>
    </row>
    <row r="61" spans="1:16" x14ac:dyDescent="0.25">
      <c r="A61" t="s">
        <v>29</v>
      </c>
      <c r="B61">
        <v>750</v>
      </c>
      <c r="C61" s="8">
        <v>1200</v>
      </c>
      <c r="D61" s="4">
        <f>SQRT(B61*4/C61/3.14159)*1000</f>
        <v>892.06243482291711</v>
      </c>
      <c r="E61">
        <v>900</v>
      </c>
      <c r="F61" s="4">
        <v>8</v>
      </c>
      <c r="G61" s="4">
        <f>3.14159*E61*C61*F61*7.85/1000000</f>
        <v>213.07520016000001</v>
      </c>
      <c r="H61" s="4">
        <f>E61*E61*1.22*1.22*F61*7.85*2/1000000</f>
        <v>151.42386240000002</v>
      </c>
      <c r="I61" s="4">
        <f t="shared" si="22"/>
        <v>21.307520016000002</v>
      </c>
      <c r="J61" s="7">
        <f>(G61+H61+I61)*E1</f>
        <v>77161.316515200015</v>
      </c>
      <c r="K61" s="4">
        <f t="shared" si="18"/>
        <v>385.80658257600004</v>
      </c>
      <c r="L61" s="4">
        <f t="shared" si="19"/>
        <v>308.64526606080005</v>
      </c>
      <c r="M61" s="4">
        <f t="shared" si="20"/>
        <v>694.45184863680015</v>
      </c>
      <c r="N61" s="4">
        <f t="shared" si="21"/>
        <v>694.45184863680015</v>
      </c>
    </row>
    <row r="62" spans="1:16" x14ac:dyDescent="0.25">
      <c r="A62" t="s">
        <v>40</v>
      </c>
      <c r="E62" t="s">
        <v>39</v>
      </c>
      <c r="F62">
        <f>B50*80/24*5</f>
        <v>166666.66666666669</v>
      </c>
      <c r="H62" s="5"/>
      <c r="I62" s="5" t="s">
        <v>15</v>
      </c>
      <c r="J62" s="7">
        <f>SUM(J52:J61)</f>
        <v>1183175.1705310002</v>
      </c>
      <c r="K62" s="9"/>
      <c r="L62" s="4"/>
    </row>
    <row r="63" spans="1:16" x14ac:dyDescent="0.25">
      <c r="A63" t="s">
        <v>17</v>
      </c>
      <c r="E63" t="s">
        <v>20</v>
      </c>
      <c r="F63" s="4">
        <f>F62*0.2/3/60</f>
        <v>185.18518518518519</v>
      </c>
      <c r="H63" s="5"/>
      <c r="I63" s="5"/>
      <c r="J63" s="7"/>
      <c r="K63" s="9"/>
      <c r="L63" s="4"/>
    </row>
    <row r="64" spans="1:16" x14ac:dyDescent="0.25">
      <c r="C64" s="8"/>
      <c r="D64" s="4"/>
      <c r="F64" s="5"/>
      <c r="G64" s="5"/>
      <c r="H64" s="5"/>
      <c r="I64" s="5"/>
      <c r="J64" s="7"/>
      <c r="K64" s="9"/>
      <c r="L64" s="4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biodiesel</vt:lpstr>
      <vt:lpstr>distillation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 Lele</dc:creator>
  <cp:lastModifiedBy>Satish LelE</cp:lastModifiedBy>
  <dcterms:created xsi:type="dcterms:W3CDTF">2017-08-01T06:27:55Z</dcterms:created>
  <dcterms:modified xsi:type="dcterms:W3CDTF">2024-03-25T04:38:41Z</dcterms:modified>
</cp:coreProperties>
</file>